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e\Desktop\AGGIORNAMENTO SITO OTT-23\MODELLI\SCATOLARE RFI\"/>
    </mc:Choice>
  </mc:AlternateContent>
  <bookViews>
    <workbookView xWindow="0" yWindow="0" windowWidth="28800" windowHeight="12300"/>
  </bookViews>
  <sheets>
    <sheet name="Foglio1" sheetId="1" r:id="rId1"/>
    <sheet name="Foglio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5" i="1" l="1"/>
  <c r="E236" i="1" s="1"/>
  <c r="E260" i="1"/>
  <c r="E262" i="1" s="1"/>
  <c r="E266" i="1" s="1"/>
  <c r="E237" i="1"/>
  <c r="E238" i="1" s="1"/>
  <c r="E263" i="1" l="1"/>
  <c r="E264" i="1" s="1"/>
  <c r="E239" i="1"/>
  <c r="E241" i="1" s="1"/>
  <c r="E166" i="1" l="1"/>
  <c r="E195" i="1" l="1"/>
  <c r="S35" i="2" s="1"/>
  <c r="E221" i="1" s="1"/>
  <c r="E177" i="1"/>
  <c r="E88" i="2"/>
  <c r="E87" i="2"/>
  <c r="F81" i="2"/>
  <c r="E56" i="1" l="1"/>
  <c r="E213" i="1" s="1"/>
  <c r="E51" i="1"/>
  <c r="L46" i="2"/>
  <c r="O39" i="2"/>
  <c r="E17" i="1"/>
  <c r="O54" i="2" s="1"/>
  <c r="O60" i="2" s="1"/>
  <c r="E77" i="2" s="1"/>
  <c r="D34" i="1"/>
  <c r="E205" i="1" s="1"/>
  <c r="C109" i="1"/>
  <c r="C110" i="1" s="1"/>
  <c r="C87" i="1"/>
  <c r="C88" i="1" s="1"/>
  <c r="C75" i="1"/>
  <c r="C76" i="1" s="1"/>
  <c r="E54" i="1"/>
  <c r="E161" i="1"/>
  <c r="E168" i="1" s="1"/>
  <c r="E131" i="1"/>
  <c r="N25" i="2" l="1"/>
  <c r="M32" i="2" s="1"/>
  <c r="E204" i="1"/>
  <c r="S37" i="2" s="1"/>
  <c r="E223" i="1" s="1"/>
  <c r="E203" i="1"/>
  <c r="S36" i="2" s="1"/>
  <c r="E222" i="1" s="1"/>
  <c r="D21" i="1"/>
  <c r="C72" i="1" s="1"/>
  <c r="C71" i="1"/>
  <c r="C83" i="1"/>
  <c r="C91" i="1" s="1"/>
  <c r="C105" i="1"/>
  <c r="E167" i="1"/>
  <c r="O55" i="2" l="1"/>
  <c r="O57" i="2" s="1"/>
  <c r="E75" i="2" s="1"/>
  <c r="S38" i="2"/>
  <c r="E224" i="1" s="1"/>
  <c r="C78" i="1"/>
  <c r="C90" i="1"/>
  <c r="E135" i="1" s="1"/>
  <c r="C79" i="1"/>
  <c r="C111" i="1"/>
  <c r="C112" i="1"/>
  <c r="E134" i="1" l="1"/>
  <c r="E188" i="1" s="1"/>
  <c r="S33" i="2" s="1"/>
  <c r="E219" i="1" s="1"/>
  <c r="E216" i="1"/>
  <c r="E245" i="1" s="1"/>
  <c r="E248" i="1" s="1"/>
  <c r="E189" i="1"/>
  <c r="E136" i="1"/>
  <c r="E217" i="1" s="1"/>
  <c r="E246" i="1" s="1"/>
  <c r="E249" i="1" s="1"/>
  <c r="E215" i="1" l="1"/>
  <c r="E244" i="1" s="1"/>
  <c r="E247" i="1" s="1"/>
  <c r="E251" i="1"/>
  <c r="F82" i="2"/>
  <c r="O59" i="2"/>
  <c r="O58" i="2"/>
  <c r="E76" i="2" s="1"/>
  <c r="E212" i="1"/>
  <c r="E163" i="1"/>
  <c r="E178" i="1"/>
  <c r="E190" i="1" s="1"/>
  <c r="S34" i="2" s="1"/>
  <c r="E220" i="1" s="1"/>
  <c r="E214" i="1" l="1"/>
  <c r="E211" i="1" l="1"/>
  <c r="E162" i="1"/>
  <c r="E164" i="1"/>
  <c r="E267" i="1" l="1"/>
  <c r="E270" i="1" s="1"/>
  <c r="E268" i="1"/>
  <c r="E169" i="1"/>
</calcChain>
</file>

<file path=xl/comments1.xml><?xml version="1.0" encoding="utf-8"?>
<comments xmlns="http://schemas.openxmlformats.org/spreadsheetml/2006/main">
  <authors>
    <author>Davide</author>
  </authors>
  <commentList>
    <comment ref="E166" authorId="0" shapeId="0">
      <text>
        <r>
          <rPr>
            <b/>
            <sz val="9"/>
            <color indexed="81"/>
            <rFont val="Tahoma"/>
            <charset val="1"/>
          </rPr>
          <t>Davide:</t>
        </r>
        <r>
          <rPr>
            <sz val="9"/>
            <color indexed="81"/>
            <rFont val="Tahoma"/>
            <charset val="1"/>
          </rPr>
          <t xml:space="preserve">
da misurare sul modello FEM</t>
        </r>
      </text>
    </comment>
  </commentList>
</comments>
</file>

<file path=xl/sharedStrings.xml><?xml version="1.0" encoding="utf-8"?>
<sst xmlns="http://schemas.openxmlformats.org/spreadsheetml/2006/main" count="435" uniqueCount="263">
  <si>
    <t>ANALISI DEI CARICHI</t>
  </si>
  <si>
    <t>m</t>
  </si>
  <si>
    <t>sempre ortogonale all'asse ferroviario</t>
  </si>
  <si>
    <t>sempre parallelo all'asse ferroviario</t>
  </si>
  <si>
    <t>L</t>
  </si>
  <si>
    <t>B</t>
  </si>
  <si>
    <t>G1</t>
  </si>
  <si>
    <t>kN/mq</t>
  </si>
  <si>
    <t>s</t>
  </si>
  <si>
    <t>calcolato in automatico dal software fem</t>
  </si>
  <si>
    <t>Larghezza di influenza dell'asse ferroviario</t>
  </si>
  <si>
    <t>Lf</t>
  </si>
  <si>
    <t>G2</t>
  </si>
  <si>
    <t>Hb</t>
  </si>
  <si>
    <t>Densità calcestruzzo</t>
  </si>
  <si>
    <r>
      <rPr>
        <sz val="11"/>
        <color theme="1"/>
        <rFont val="GreekC"/>
      </rPr>
      <t>γ</t>
    </r>
    <r>
      <rPr>
        <sz val="11"/>
        <color theme="1"/>
        <rFont val="Calibri"/>
        <family val="2"/>
        <scheme val="minor"/>
      </rPr>
      <t>cls</t>
    </r>
  </si>
  <si>
    <r>
      <rPr>
        <sz val="11"/>
        <color theme="1"/>
        <rFont val="GreekC"/>
      </rPr>
      <t>γ</t>
    </r>
    <r>
      <rPr>
        <sz val="11"/>
        <color theme="1"/>
        <rFont val="Calibri"/>
        <family val="2"/>
        <scheme val="minor"/>
      </rPr>
      <t>ball</t>
    </r>
  </si>
  <si>
    <t>Carichi accidentali QLM71</t>
  </si>
  <si>
    <t>-</t>
  </si>
  <si>
    <t>kN</t>
  </si>
  <si>
    <t>kNm</t>
  </si>
  <si>
    <t>kN/m</t>
  </si>
  <si>
    <t>Carichi accidentali SW2</t>
  </si>
  <si>
    <r>
      <t>Q</t>
    </r>
    <r>
      <rPr>
        <vertAlign val="subscript"/>
        <sz val="11"/>
        <color theme="1"/>
        <rFont val="Calibri"/>
        <family val="2"/>
        <scheme val="minor"/>
      </rPr>
      <t>LM71</t>
    </r>
  </si>
  <si>
    <t>a</t>
  </si>
  <si>
    <r>
      <t>Q</t>
    </r>
    <r>
      <rPr>
        <vertAlign val="subscript"/>
        <sz val="11"/>
        <color theme="1"/>
        <rFont val="Calibri"/>
        <family val="2"/>
        <scheme val="minor"/>
      </rPr>
      <t>SW2</t>
    </r>
  </si>
  <si>
    <r>
      <t>Q</t>
    </r>
    <r>
      <rPr>
        <vertAlign val="subscript"/>
        <sz val="11"/>
        <color theme="1"/>
        <rFont val="Calibri"/>
        <family val="2"/>
        <scheme val="minor"/>
      </rPr>
      <t>mar</t>
    </r>
  </si>
  <si>
    <t>Forza centrifuga</t>
  </si>
  <si>
    <t>CARICHI VERTICALI</t>
  </si>
  <si>
    <t>CARICHI ORIZZONTALI</t>
  </si>
  <si>
    <t>Le sollecitazioni e gli spostamenti determinati sulle strutture del ponte dall’applicazione statica dei modelli di carico debbono
essere incrementati per tenere conto della natura dinamica del transito dei convogli.</t>
  </si>
  <si>
    <t>Effetti dinamici</t>
  </si>
  <si>
    <t>Si valutano i casi per treni che percorrono la tratta a velocità inferiore ai 200km/h</t>
  </si>
  <si>
    <t>Si considerano linee con standard manutentivo ridotto</t>
  </si>
  <si>
    <r>
      <t>L</t>
    </r>
    <r>
      <rPr>
        <sz val="11"/>
        <color theme="1"/>
        <rFont val="Calibri"/>
        <family val="2"/>
      </rPr>
      <t>ø</t>
    </r>
    <r>
      <rPr>
        <sz val="11"/>
        <color theme="1"/>
        <rFont val="Calibri"/>
        <family val="2"/>
        <scheme val="minor"/>
      </rPr>
      <t xml:space="preserve"> rappresenta la lunghezza “caratteristica” in metri, così come definita in Tab. 5.2.II.</t>
    </r>
  </si>
  <si>
    <t>Coefficiente di incremento dinamico</t>
  </si>
  <si>
    <t>ø3</t>
  </si>
  <si>
    <t>Il coef. Dinamico non si usa per "treni scarichi" e "treni reali"</t>
  </si>
  <si>
    <t>Nei ponti ferroviari al di sopra dei quali il binario presenta un tracciato in curva deve essere considerata la forza centrifuga agente
su tutta l’estensione del tratto in curva. La forza centrifuga si considera agente verso l’esterno della curva, in direzione orizzontale ed applicata alla quota di 1,80 m al di
sopra del P.F..</t>
  </si>
  <si>
    <t>Raggio della curva (per valutare le azioni centrifughe)</t>
  </si>
  <si>
    <t>r</t>
  </si>
  <si>
    <t>superficie di influenza binario (distribuzione a 45° dei carichi dal piano del ferro al piano dell'impalcato)</t>
  </si>
  <si>
    <t>Pcentr,LH71</t>
  </si>
  <si>
    <t>Pcentr,SW2</t>
  </si>
  <si>
    <t>Distribuzione di forza centrifuga per carichi SW2</t>
  </si>
  <si>
    <t>Velocità per LM71</t>
  </si>
  <si>
    <t>Velocità per SW2</t>
  </si>
  <si>
    <r>
      <t>V</t>
    </r>
    <r>
      <rPr>
        <b/>
        <vertAlign val="subscript"/>
        <sz val="11"/>
        <color theme="1"/>
        <rFont val="Calibri"/>
        <family val="2"/>
        <scheme val="minor"/>
      </rPr>
      <t>LM71</t>
    </r>
  </si>
  <si>
    <r>
      <t>V</t>
    </r>
    <r>
      <rPr>
        <b/>
        <vertAlign val="subscript"/>
        <sz val="11"/>
        <color theme="1"/>
        <rFont val="Calibri"/>
        <family val="2"/>
        <scheme val="minor"/>
      </rPr>
      <t>SW2</t>
    </r>
  </si>
  <si>
    <t>km/h</t>
  </si>
  <si>
    <t>fattore di riduzione</t>
  </si>
  <si>
    <t>f</t>
  </si>
  <si>
    <r>
      <t>f</t>
    </r>
    <r>
      <rPr>
        <b/>
        <vertAlign val="subscript"/>
        <sz val="11"/>
        <color theme="1"/>
        <rFont val="Calibri"/>
        <family val="2"/>
        <scheme val="minor"/>
      </rPr>
      <t>LM71</t>
    </r>
  </si>
  <si>
    <r>
      <t>f</t>
    </r>
    <r>
      <rPr>
        <b/>
        <vertAlign val="subscript"/>
        <sz val="11"/>
        <color theme="1"/>
        <rFont val="Calibri"/>
        <family val="2"/>
        <scheme val="minor"/>
      </rPr>
      <t>SW2</t>
    </r>
  </si>
  <si>
    <r>
      <t>Q</t>
    </r>
    <r>
      <rPr>
        <b/>
        <vertAlign val="subscript"/>
        <sz val="11"/>
        <color theme="1"/>
        <rFont val="Calibri"/>
        <family val="2"/>
        <scheme val="minor"/>
      </rPr>
      <t>SW2</t>
    </r>
  </si>
  <si>
    <r>
      <t>Q</t>
    </r>
    <r>
      <rPr>
        <b/>
        <vertAlign val="subscript"/>
        <sz val="11"/>
        <color theme="1"/>
        <rFont val="Calibri"/>
        <family val="2"/>
        <scheme val="minor"/>
      </rPr>
      <t>LM71</t>
    </r>
  </si>
  <si>
    <t xml:space="preserve">Carico distributo accidentale QLM71 </t>
  </si>
  <si>
    <t>Carico distributo accidentale QSW2</t>
  </si>
  <si>
    <t>Limiti delle frequenze proprie dell'impalcato</t>
  </si>
  <si>
    <t>Velocità inferiore a 200km/h</t>
  </si>
  <si>
    <t>Freccia in mm della porzione di impalcato soggetta ai carichi ferroviari</t>
  </si>
  <si>
    <t>Pesi permanenti in com. caratteristica G1+G2; per la porzione di impalcato soggetta ai carichi ferroviari</t>
  </si>
  <si>
    <t>P,perm</t>
  </si>
  <si>
    <t>Modulo elastico cls C30/37</t>
  </si>
  <si>
    <t>Ec</t>
  </si>
  <si>
    <t>Momento d'inerzia sezione impalcato</t>
  </si>
  <si>
    <t>Iimp</t>
  </si>
  <si>
    <r>
      <t>mm</t>
    </r>
    <r>
      <rPr>
        <vertAlign val="superscript"/>
        <sz val="11"/>
        <color theme="1"/>
        <rFont val="Calibri"/>
        <family val="2"/>
        <scheme val="minor"/>
      </rPr>
      <t>4</t>
    </r>
  </si>
  <si>
    <t>Mpa</t>
  </si>
  <si>
    <t>mm</t>
  </si>
  <si>
    <t>Frequenza limite superiore</t>
  </si>
  <si>
    <t>Frequenza limite inferiore</t>
  </si>
  <si>
    <t>Hz</t>
  </si>
  <si>
    <t>Azione di frenatura</t>
  </si>
  <si>
    <t>Azione di serpeggio</t>
  </si>
  <si>
    <t>Le forze di frenatura e di avviamento agiscono sulla sommità del binario, nella direzione longitudinale dello stesso. Dette forze
sono da considerarsi uniformemente distribuite su una lunghezza di binario L determinata per ottenere l’effetto più gravoso
sull’elemento strutturale considerato.</t>
  </si>
  <si>
    <r>
      <t>q</t>
    </r>
    <r>
      <rPr>
        <vertAlign val="subscript"/>
        <sz val="11"/>
        <color theme="1"/>
        <rFont val="Calibri"/>
        <family val="2"/>
        <scheme val="minor"/>
      </rPr>
      <t>la,k</t>
    </r>
  </si>
  <si>
    <t>Avviamento LM71 e SW2</t>
  </si>
  <si>
    <t>Frenatura LM71</t>
  </si>
  <si>
    <t>Frenatura SW2</t>
  </si>
  <si>
    <r>
      <t>q</t>
    </r>
    <r>
      <rPr>
        <vertAlign val="subscript"/>
        <sz val="11"/>
        <color theme="1"/>
        <rFont val="Calibri"/>
        <family val="2"/>
        <scheme val="minor"/>
      </rPr>
      <t>lb,k</t>
    </r>
  </si>
  <si>
    <t>Si spalmano le azioni definite dalla NTC18 sulla superficie di influenza</t>
  </si>
  <si>
    <r>
      <t xml:space="preserve">La forza laterale indotta dal serpeggio si considera come una forza concentrata agente orizzontalmente, applicata alla sommità
della rotaia più alta, perpendicolarmente all’asse del binario. Tale azione si applicherà sia in rettifilo che in curva.
Il valore caratteristico di tale forza sarà assunto pari a Qsk = 100 kN. Tale valore deve essere moltiplicato per </t>
    </r>
    <r>
      <rPr>
        <sz val="11"/>
        <color theme="1"/>
        <rFont val="Calibri"/>
        <family val="2"/>
      </rPr>
      <t>α</t>
    </r>
    <r>
      <rPr>
        <sz val="11"/>
        <color theme="1"/>
        <rFont val="Calibri"/>
        <family val="2"/>
        <scheme val="minor"/>
      </rPr>
      <t xml:space="preserve">, (se </t>
    </r>
    <r>
      <rPr>
        <sz val="11"/>
        <color theme="1"/>
        <rFont val="Calibri"/>
        <family val="2"/>
      </rPr>
      <t>α</t>
    </r>
    <r>
      <rPr>
        <sz val="11"/>
        <color theme="1"/>
        <rFont val="Calibri"/>
        <family val="2"/>
        <scheme val="minor"/>
      </rPr>
      <t xml:space="preserve">&gt;1), ma non
per il coefficiente </t>
    </r>
    <r>
      <rPr>
        <sz val="11"/>
        <color theme="1"/>
        <rFont val="Calibri"/>
        <family val="2"/>
      </rPr>
      <t>ø</t>
    </r>
    <r>
      <rPr>
        <sz val="11"/>
        <color theme="1"/>
        <rFont val="Calibri"/>
        <family val="2"/>
        <scheme val="minor"/>
      </rPr>
      <t>.
Questa forza laterale deve essere sempre combinata con i carichi verticali.</t>
    </r>
  </si>
  <si>
    <r>
      <t>Q</t>
    </r>
    <r>
      <rPr>
        <b/>
        <vertAlign val="subscript"/>
        <sz val="11"/>
        <color theme="1"/>
        <rFont val="Calibri"/>
        <family val="2"/>
        <scheme val="minor"/>
      </rPr>
      <t>la,k</t>
    </r>
  </si>
  <si>
    <r>
      <t>Q</t>
    </r>
    <r>
      <rPr>
        <b/>
        <vertAlign val="subscript"/>
        <sz val="11"/>
        <color theme="1"/>
        <rFont val="Calibri"/>
        <family val="2"/>
        <scheme val="minor"/>
      </rPr>
      <t>lb,k</t>
    </r>
  </si>
  <si>
    <r>
      <t>Q</t>
    </r>
    <r>
      <rPr>
        <b/>
        <vertAlign val="subscript"/>
        <sz val="11"/>
        <color theme="1"/>
        <rFont val="Calibri"/>
        <family val="2"/>
        <scheme val="minor"/>
      </rPr>
      <t>sk</t>
    </r>
  </si>
  <si>
    <t>Carichi accidentali verticali dinamizzati</t>
  </si>
  <si>
    <t>VERTICALI</t>
  </si>
  <si>
    <r>
      <t>Q</t>
    </r>
    <r>
      <rPr>
        <b/>
        <vertAlign val="subscript"/>
        <sz val="11"/>
        <color theme="1"/>
        <rFont val="Calibri"/>
        <family val="2"/>
        <scheme val="minor"/>
      </rPr>
      <t>mar</t>
    </r>
  </si>
  <si>
    <t>Carico distributo accidentale QLM71 dinamizzati</t>
  </si>
  <si>
    <t>Carico distributo accidentale QSW2 dinamizzati</t>
  </si>
  <si>
    <t>ORIZZONTALI</t>
  </si>
  <si>
    <r>
      <t>Q</t>
    </r>
    <r>
      <rPr>
        <vertAlign val="subscript"/>
        <sz val="11"/>
        <color theme="1"/>
        <rFont val="Calibri"/>
        <family val="2"/>
        <scheme val="minor"/>
      </rPr>
      <t>sk</t>
    </r>
  </si>
  <si>
    <t>COPPIE</t>
  </si>
  <si>
    <t>Carico concentrato orizzontale, applicato in mezzeria per azione di serpeggio . Sia per LM71 che per SW2</t>
  </si>
  <si>
    <t>H</t>
  </si>
  <si>
    <t>Altezza piano del ferro-estradosso soletta</t>
  </si>
  <si>
    <t>Hb-s</t>
  </si>
  <si>
    <r>
      <t>x</t>
    </r>
    <r>
      <rPr>
        <sz val="11"/>
        <color theme="1"/>
        <rFont val="Calibri"/>
        <family val="2"/>
      </rPr>
      <t>→</t>
    </r>
  </si>
  <si>
    <t>↑</t>
  </si>
  <si>
    <t>y</t>
  </si>
  <si>
    <t>Altezza di calcolo: piano del ferro-asse platea</t>
  </si>
  <si>
    <t>Di seguito le coppie generate dall'applicazione del carico</t>
  </si>
  <si>
    <t>Coppia per avviamento LM71 e SW2</t>
  </si>
  <si>
    <t>Coppia per Frenatura LM71</t>
  </si>
  <si>
    <t>Coppia per Frenatura SW2</t>
  </si>
  <si>
    <t>Impronta di calcolo per l'asse ferroviario</t>
  </si>
  <si>
    <t>A</t>
  </si>
  <si>
    <r>
      <t>m</t>
    </r>
    <r>
      <rPr>
        <vertAlign val="superscript"/>
        <sz val="11"/>
        <color theme="1"/>
        <rFont val="Calibri"/>
        <family val="2"/>
        <scheme val="minor"/>
      </rPr>
      <t>2</t>
    </r>
  </si>
  <si>
    <r>
      <t>MQ</t>
    </r>
    <r>
      <rPr>
        <b/>
        <vertAlign val="subscript"/>
        <sz val="11"/>
        <color theme="1"/>
        <rFont val="Calibri"/>
        <family val="2"/>
        <scheme val="minor"/>
      </rPr>
      <t>la,k (dir.x)</t>
    </r>
  </si>
  <si>
    <r>
      <t>MQ</t>
    </r>
    <r>
      <rPr>
        <b/>
        <vertAlign val="subscript"/>
        <sz val="11"/>
        <color theme="1"/>
        <rFont val="Calibri"/>
        <family val="2"/>
        <scheme val="minor"/>
      </rPr>
      <t>lb,k (dir.x)</t>
    </r>
  </si>
  <si>
    <r>
      <t>MQ</t>
    </r>
    <r>
      <rPr>
        <b/>
        <vertAlign val="subscript"/>
        <sz val="11"/>
        <color theme="1"/>
        <rFont val="Calibri"/>
        <family val="2"/>
        <scheme val="minor"/>
      </rPr>
      <t>sk (dir.y)</t>
    </r>
  </si>
  <si>
    <t>RIEPILOGO AZIONI DI CALCOLO</t>
  </si>
  <si>
    <t>Distribuzione sulla barriera (applicato in mezzeria)</t>
  </si>
  <si>
    <t xml:space="preserve">Coppia per avviamento LM71 </t>
  </si>
  <si>
    <r>
      <t>MQ</t>
    </r>
    <r>
      <rPr>
        <vertAlign val="subscript"/>
        <sz val="11"/>
        <color theme="1"/>
        <rFont val="Calibri"/>
        <family val="2"/>
        <scheme val="minor"/>
      </rPr>
      <t>la,k (dir.x)</t>
    </r>
  </si>
  <si>
    <r>
      <t>MQ</t>
    </r>
    <r>
      <rPr>
        <vertAlign val="subscript"/>
        <sz val="11"/>
        <color theme="1"/>
        <rFont val="Calibri"/>
        <family val="2"/>
        <scheme val="minor"/>
      </rPr>
      <t>lb,k (dir.x)</t>
    </r>
  </si>
  <si>
    <r>
      <t>MQ</t>
    </r>
    <r>
      <rPr>
        <vertAlign val="subscript"/>
        <sz val="11"/>
        <color theme="1"/>
        <rFont val="Calibri"/>
        <family val="2"/>
        <scheme val="minor"/>
      </rPr>
      <t>sk (dir.y)</t>
    </r>
  </si>
  <si>
    <t>Coppia dovuta al carico concentrato orizzontale, applicato in mezzeria per azione di serpeggio posto sul piano del ferro. Sia per LM71 che per SW2</t>
  </si>
  <si>
    <t>COPPIE CONCENTRATE</t>
  </si>
  <si>
    <t>Lunghezza di calcolo</t>
  </si>
  <si>
    <t>Lcalc</t>
  </si>
  <si>
    <r>
      <t>Q</t>
    </r>
    <r>
      <rPr>
        <vertAlign val="subscript"/>
        <sz val="11"/>
        <color theme="1"/>
        <rFont val="Calibri"/>
        <family val="2"/>
        <scheme val="minor"/>
      </rPr>
      <t>la,k (dir y)</t>
    </r>
  </si>
  <si>
    <t>Carico concentrato orizzontale, applicato in mezzeria per serpeggio per LM71</t>
  </si>
  <si>
    <t>Coppia torcente dovuta al serpeggio (applicato in mezzeria)</t>
  </si>
  <si>
    <r>
      <t>Mq</t>
    </r>
    <r>
      <rPr>
        <vertAlign val="subscript"/>
        <sz val="11"/>
        <color theme="1"/>
        <rFont val="Calibri"/>
        <family val="2"/>
        <scheme val="minor"/>
      </rPr>
      <t>wind,barr</t>
    </r>
  </si>
  <si>
    <t>MQsk</t>
  </si>
  <si>
    <t>Coppia dovuta al carico concentrato orizzontale, applicato in mezzeria per azione di serpeggio posto sul piano del ferro per LM71</t>
  </si>
  <si>
    <t>peso della soletta in calcestruzzo</t>
  </si>
  <si>
    <t>peso del calcestruzzo soletta</t>
  </si>
  <si>
    <r>
      <t>kN/m</t>
    </r>
    <r>
      <rPr>
        <vertAlign val="superscript"/>
        <sz val="11"/>
        <color theme="1"/>
        <rFont val="Calibri"/>
        <family val="2"/>
        <scheme val="minor"/>
      </rPr>
      <t>2</t>
    </r>
  </si>
  <si>
    <r>
      <t>kN/m</t>
    </r>
    <r>
      <rPr>
        <b/>
        <vertAlign val="superscript"/>
        <sz val="11"/>
        <color theme="1"/>
        <rFont val="Calibri"/>
        <family val="2"/>
        <scheme val="minor"/>
      </rPr>
      <t>2</t>
    </r>
  </si>
  <si>
    <r>
      <t>kN/m</t>
    </r>
    <r>
      <rPr>
        <vertAlign val="superscript"/>
        <sz val="11"/>
        <color theme="1"/>
        <rFont val="Calibri"/>
        <family val="2"/>
        <scheme val="minor"/>
      </rPr>
      <t>3</t>
    </r>
  </si>
  <si>
    <t>Densità ballast + armamento</t>
  </si>
  <si>
    <r>
      <t>n</t>
    </r>
    <r>
      <rPr>
        <vertAlign val="subscript"/>
        <sz val="11"/>
        <color theme="1"/>
        <rFont val="Calibri"/>
        <family val="2"/>
        <scheme val="minor"/>
      </rPr>
      <t>0i</t>
    </r>
  </si>
  <si>
    <r>
      <t>n</t>
    </r>
    <r>
      <rPr>
        <vertAlign val="subscript"/>
        <sz val="11"/>
        <color theme="1"/>
        <rFont val="Calibri"/>
        <family val="2"/>
        <scheme val="minor"/>
      </rPr>
      <t>0s</t>
    </r>
  </si>
  <si>
    <r>
      <t>n</t>
    </r>
    <r>
      <rPr>
        <vertAlign val="subscript"/>
        <sz val="11"/>
        <color theme="1"/>
        <rFont val="Calibri"/>
        <family val="2"/>
        <scheme val="minor"/>
      </rPr>
      <t>0</t>
    </r>
  </si>
  <si>
    <t>Distribuzione dei carichi sull'impalcato (area di influenza sulla singola rotaia)</t>
  </si>
  <si>
    <t>Pcentr,LM71</t>
  </si>
  <si>
    <t>LARGHEZZA AREA INFLUENZA BINARIO</t>
  </si>
  <si>
    <t>SPESSORE SOLETTA</t>
  </si>
  <si>
    <t>Larghezza media ritto</t>
  </si>
  <si>
    <t>Dove Lf per questa analisi coincide con la lunghezza 3*L</t>
  </si>
  <si>
    <r>
      <t>S</t>
    </r>
    <r>
      <rPr>
        <vertAlign val="subscript"/>
        <sz val="11"/>
        <color theme="1"/>
        <rFont val="Calibri"/>
        <family val="2"/>
        <scheme val="minor"/>
      </rPr>
      <t>ritto</t>
    </r>
  </si>
  <si>
    <t xml:space="preserve">Prima frequenza flessionale </t>
  </si>
  <si>
    <t>LUNGHEZZA SOLETTA LONGITUDINALE</t>
  </si>
  <si>
    <t>CALCOLO DELLA DISTRIBUZIONE DEI CARICHI</t>
  </si>
  <si>
    <t>sr</t>
  </si>
  <si>
    <t>Ltr</t>
  </si>
  <si>
    <t>Lunghezza di diffusione trasversale</t>
  </si>
  <si>
    <t>Lunghezza di diffusione longitudinale</t>
  </si>
  <si>
    <t>Carico concentrato LM71</t>
  </si>
  <si>
    <r>
      <t>Q</t>
    </r>
    <r>
      <rPr>
        <vertAlign val="subscript"/>
        <sz val="11"/>
        <color theme="1"/>
        <rFont val="Calibri"/>
        <family val="2"/>
        <scheme val="minor"/>
      </rPr>
      <t>v</t>
    </r>
  </si>
  <si>
    <t>carico concentrato</t>
  </si>
  <si>
    <t>larghezza di diffusione</t>
  </si>
  <si>
    <t>lunghezza di diffusione</t>
  </si>
  <si>
    <t>e</t>
  </si>
  <si>
    <t>eccentricità convenzionale</t>
  </si>
  <si>
    <r>
      <t>e</t>
    </r>
    <r>
      <rPr>
        <vertAlign val="subscript"/>
        <sz val="11"/>
        <color theme="1"/>
        <rFont val="Calibri"/>
        <family val="2"/>
        <scheme val="minor"/>
      </rPr>
      <t>g</t>
    </r>
  </si>
  <si>
    <t>eccentricità geometrica</t>
  </si>
  <si>
    <r>
      <t>e</t>
    </r>
    <r>
      <rPr>
        <vertAlign val="subscript"/>
        <sz val="11"/>
        <color theme="1"/>
        <rFont val="Calibri"/>
        <family val="2"/>
        <scheme val="minor"/>
      </rPr>
      <t>tot</t>
    </r>
    <r>
      <rPr>
        <sz val="11"/>
        <color theme="1"/>
        <rFont val="Calibri"/>
        <family val="2"/>
        <scheme val="minor"/>
      </rPr>
      <t>=e+e</t>
    </r>
    <r>
      <rPr>
        <vertAlign val="subscript"/>
        <sz val="11"/>
        <color theme="1"/>
        <rFont val="Calibri"/>
        <family val="2"/>
        <scheme val="minor"/>
      </rPr>
      <t>g</t>
    </r>
  </si>
  <si>
    <t>eccentricità totale</t>
  </si>
  <si>
    <r>
      <t>M=Q</t>
    </r>
    <r>
      <rPr>
        <vertAlign val="subscript"/>
        <sz val="11"/>
        <color theme="1"/>
        <rFont val="Calibri"/>
        <family val="2"/>
        <scheme val="minor"/>
      </rPr>
      <t>v</t>
    </r>
    <r>
      <rPr>
        <sz val="11"/>
        <color theme="1"/>
        <rFont val="Calibri"/>
        <family val="2"/>
        <scheme val="minor"/>
      </rPr>
      <t xml:space="preserve"> x e</t>
    </r>
    <r>
      <rPr>
        <vertAlign val="subscript"/>
        <sz val="11"/>
        <color theme="1"/>
        <rFont val="Calibri"/>
        <family val="2"/>
        <scheme val="minor"/>
      </rPr>
      <t>tot</t>
    </r>
  </si>
  <si>
    <t>Momento rispetto al punto M</t>
  </si>
  <si>
    <t>coef. Di adattamento</t>
  </si>
  <si>
    <r>
      <t>[</t>
    </r>
    <r>
      <rPr>
        <sz val="11"/>
        <color theme="1"/>
        <rFont val="GreekC"/>
      </rPr>
      <t>s</t>
    </r>
    <r>
      <rPr>
        <vertAlign val="subscript"/>
        <sz val="11"/>
        <color theme="1"/>
        <rFont val="Calibri"/>
        <family val="2"/>
      </rPr>
      <t>A</t>
    </r>
    <r>
      <rPr>
        <sz val="11"/>
        <color theme="1"/>
        <rFont val="Calibri"/>
        <family val="2"/>
      </rPr>
      <t>=Q</t>
    </r>
    <r>
      <rPr>
        <vertAlign val="subscript"/>
        <sz val="11"/>
        <color theme="1"/>
        <rFont val="Calibri"/>
        <family val="2"/>
      </rPr>
      <t>v</t>
    </r>
    <r>
      <rPr>
        <sz val="11"/>
        <color theme="1"/>
        <rFont val="Calibri"/>
        <family val="2"/>
      </rPr>
      <t>/(BxL)-Mx6(LxB</t>
    </r>
    <r>
      <rPr>
        <vertAlign val="superscript"/>
        <sz val="11"/>
        <color theme="1"/>
        <rFont val="Calibri"/>
        <family val="2"/>
      </rPr>
      <t>2</t>
    </r>
    <r>
      <rPr>
        <sz val="11"/>
        <color theme="1"/>
        <rFont val="Calibri"/>
        <family val="2"/>
      </rPr>
      <t>)] x a</t>
    </r>
  </si>
  <si>
    <t>Carico nel punto A</t>
  </si>
  <si>
    <r>
      <t>[</t>
    </r>
    <r>
      <rPr>
        <sz val="11"/>
        <color theme="1"/>
        <rFont val="GreekC"/>
      </rPr>
      <t>s</t>
    </r>
    <r>
      <rPr>
        <vertAlign val="subscript"/>
        <sz val="11"/>
        <color theme="1"/>
        <rFont val="Calibri"/>
        <family val="2"/>
      </rPr>
      <t>B</t>
    </r>
    <r>
      <rPr>
        <sz val="11"/>
        <color theme="1"/>
        <rFont val="Calibri"/>
        <family val="2"/>
      </rPr>
      <t>=Q</t>
    </r>
    <r>
      <rPr>
        <vertAlign val="subscript"/>
        <sz val="11"/>
        <color theme="1"/>
        <rFont val="Calibri"/>
        <family val="2"/>
      </rPr>
      <t>v</t>
    </r>
    <r>
      <rPr>
        <sz val="11"/>
        <color theme="1"/>
        <rFont val="Calibri"/>
        <family val="2"/>
      </rPr>
      <t>/(BxL)+Mx6(LxB</t>
    </r>
    <r>
      <rPr>
        <vertAlign val="superscript"/>
        <sz val="11"/>
        <color theme="1"/>
        <rFont val="Calibri"/>
        <family val="2"/>
      </rPr>
      <t>2</t>
    </r>
    <r>
      <rPr>
        <sz val="11"/>
        <color theme="1"/>
        <rFont val="Calibri"/>
        <family val="2"/>
      </rPr>
      <t>)] x a</t>
    </r>
  </si>
  <si>
    <t>Carico nel punto B</t>
  </si>
  <si>
    <t>Carico distribuito LM71</t>
  </si>
  <si>
    <r>
      <rPr>
        <sz val="11"/>
        <color theme="1"/>
        <rFont val="GreekC"/>
      </rPr>
      <t>[s</t>
    </r>
    <r>
      <rPr>
        <vertAlign val="subscript"/>
        <sz val="11"/>
        <color theme="1"/>
        <rFont val="Calibri"/>
        <family val="2"/>
      </rPr>
      <t>A</t>
    </r>
    <r>
      <rPr>
        <sz val="11"/>
        <color theme="1"/>
        <rFont val="Calibri"/>
        <family val="2"/>
      </rPr>
      <t>=Q</t>
    </r>
    <r>
      <rPr>
        <vertAlign val="subscript"/>
        <sz val="11"/>
        <color theme="1"/>
        <rFont val="Calibri"/>
        <family val="2"/>
      </rPr>
      <t>v</t>
    </r>
    <r>
      <rPr>
        <sz val="11"/>
        <color theme="1"/>
        <rFont val="Calibri"/>
        <family val="2"/>
      </rPr>
      <t>/(Bx1)-Mx6(1xB</t>
    </r>
    <r>
      <rPr>
        <vertAlign val="superscript"/>
        <sz val="11"/>
        <color theme="1"/>
        <rFont val="Calibri"/>
        <family val="2"/>
      </rPr>
      <t>2</t>
    </r>
    <r>
      <rPr>
        <sz val="11"/>
        <color theme="1"/>
        <rFont val="Calibri"/>
        <family val="2"/>
      </rPr>
      <t>)] x a</t>
    </r>
  </si>
  <si>
    <r>
      <t>[</t>
    </r>
    <r>
      <rPr>
        <sz val="11"/>
        <color theme="1"/>
        <rFont val="GreekC"/>
      </rPr>
      <t>s</t>
    </r>
    <r>
      <rPr>
        <vertAlign val="subscript"/>
        <sz val="11"/>
        <color theme="1"/>
        <rFont val="Calibri"/>
        <family val="2"/>
      </rPr>
      <t>B</t>
    </r>
    <r>
      <rPr>
        <sz val="11"/>
        <color theme="1"/>
        <rFont val="Calibri"/>
        <family val="2"/>
      </rPr>
      <t>=Q</t>
    </r>
    <r>
      <rPr>
        <vertAlign val="subscript"/>
        <sz val="11"/>
        <color theme="1"/>
        <rFont val="Calibri"/>
        <family val="2"/>
      </rPr>
      <t>v</t>
    </r>
    <r>
      <rPr>
        <sz val="11"/>
        <color theme="1"/>
        <rFont val="Calibri"/>
        <family val="2"/>
      </rPr>
      <t>/(Bx1)+Mx6(1xB</t>
    </r>
    <r>
      <rPr>
        <vertAlign val="superscript"/>
        <sz val="11"/>
        <color theme="1"/>
        <rFont val="Calibri"/>
        <family val="2"/>
      </rPr>
      <t>2</t>
    </r>
    <r>
      <rPr>
        <sz val="11"/>
        <color theme="1"/>
        <rFont val="Calibri"/>
        <family val="2"/>
      </rPr>
      <t>)] x a</t>
    </r>
  </si>
  <si>
    <t>Carico distribuito SW2</t>
  </si>
  <si>
    <r>
      <rPr>
        <sz val="11"/>
        <color theme="1"/>
        <rFont val="GreekC"/>
      </rPr>
      <t>s</t>
    </r>
    <r>
      <rPr>
        <vertAlign val="subscript"/>
        <sz val="11"/>
        <color theme="1"/>
        <rFont val="Calibri"/>
        <family val="2"/>
      </rPr>
      <t>A</t>
    </r>
    <r>
      <rPr>
        <sz val="11"/>
        <color theme="1"/>
        <rFont val="Calibri"/>
        <family val="2"/>
      </rPr>
      <t>=Q</t>
    </r>
    <r>
      <rPr>
        <vertAlign val="subscript"/>
        <sz val="11"/>
        <color theme="1"/>
        <rFont val="Calibri"/>
        <family val="2"/>
      </rPr>
      <t>v</t>
    </r>
    <r>
      <rPr>
        <sz val="11"/>
        <color theme="1"/>
        <rFont val="Calibri"/>
        <family val="2"/>
      </rPr>
      <t>/(Bx1)-Mx6(1xB</t>
    </r>
    <r>
      <rPr>
        <vertAlign val="superscript"/>
        <sz val="11"/>
        <color theme="1"/>
        <rFont val="Calibri"/>
        <family val="2"/>
      </rPr>
      <t>2</t>
    </r>
    <r>
      <rPr>
        <sz val="11"/>
        <color theme="1"/>
        <rFont val="Calibri"/>
        <family val="2"/>
      </rPr>
      <t>)</t>
    </r>
  </si>
  <si>
    <r>
      <rPr>
        <sz val="11"/>
        <color theme="1"/>
        <rFont val="GreekC"/>
      </rPr>
      <t>s</t>
    </r>
    <r>
      <rPr>
        <vertAlign val="subscript"/>
        <sz val="11"/>
        <color theme="1"/>
        <rFont val="Calibri"/>
        <family val="2"/>
      </rPr>
      <t>B</t>
    </r>
    <r>
      <rPr>
        <sz val="11"/>
        <color theme="1"/>
        <rFont val="Calibri"/>
        <family val="2"/>
      </rPr>
      <t>=Q</t>
    </r>
    <r>
      <rPr>
        <vertAlign val="subscript"/>
        <sz val="11"/>
        <color theme="1"/>
        <rFont val="Calibri"/>
        <family val="2"/>
      </rPr>
      <t>v</t>
    </r>
    <r>
      <rPr>
        <sz val="11"/>
        <color theme="1"/>
        <rFont val="Calibri"/>
        <family val="2"/>
      </rPr>
      <t>/(Bx1)+Mx6(1xB</t>
    </r>
    <r>
      <rPr>
        <vertAlign val="superscript"/>
        <sz val="11"/>
        <color theme="1"/>
        <rFont val="Calibri"/>
        <family val="2"/>
      </rPr>
      <t>2</t>
    </r>
    <r>
      <rPr>
        <sz val="11"/>
        <color theme="1"/>
        <rFont val="Calibri"/>
        <family val="2"/>
      </rPr>
      <t>)</t>
    </r>
  </si>
  <si>
    <t>Spessore del Ballast</t>
  </si>
  <si>
    <t>Spessore del ricoprimento/terreno</t>
  </si>
  <si>
    <t>Densità ricoprimento terreno</t>
  </si>
  <si>
    <r>
      <rPr>
        <sz val="11"/>
        <color theme="1"/>
        <rFont val="GreekC"/>
      </rPr>
      <t>γ</t>
    </r>
    <r>
      <rPr>
        <sz val="11"/>
        <color theme="1"/>
        <rFont val="Calibri"/>
        <family val="2"/>
        <scheme val="minor"/>
      </rPr>
      <t>terr</t>
    </r>
  </si>
  <si>
    <t>Lunghezza traversina</t>
  </si>
  <si>
    <t>Peso del ballast e armamento</t>
  </si>
  <si>
    <t>Peso del ricoprimento</t>
  </si>
  <si>
    <t>Qk</t>
  </si>
  <si>
    <t xml:space="preserve">Carico concentrato accidentale QLM71 </t>
  </si>
  <si>
    <t xml:space="preserve">Resoconto azioni </t>
  </si>
  <si>
    <t>Distribuzione di forza centrifuga per carichi LM71 concentrati</t>
  </si>
  <si>
    <t>Distribuzione di forza centrifuga per carichi LM71 distribuiti</t>
  </si>
  <si>
    <t>Carico tratto concentrato accidentale QLM71 dinamizzati</t>
  </si>
  <si>
    <t>Carico tratto distributo accidentale QLM71 dinamizzati</t>
  </si>
  <si>
    <t>Carico tratto distributo accidentale QSW2 dinamizzati</t>
  </si>
  <si>
    <t>Risultante di forza centrifuga per carichi LM71 (verso esterno curva)</t>
  </si>
  <si>
    <t>Risultante di forza centrifuga per carichi SW2 (verso esterno curva)</t>
  </si>
  <si>
    <r>
      <t>Q</t>
    </r>
    <r>
      <rPr>
        <vertAlign val="subscript"/>
        <sz val="11"/>
        <color theme="1"/>
        <rFont val="Calibri"/>
        <family val="2"/>
        <scheme val="minor"/>
      </rPr>
      <t>LM71,lb,k (dir y)</t>
    </r>
  </si>
  <si>
    <r>
      <t>QL</t>
    </r>
    <r>
      <rPr>
        <vertAlign val="subscript"/>
        <sz val="11"/>
        <color theme="1"/>
        <rFont val="Calibri"/>
        <family val="2"/>
        <scheme val="minor"/>
      </rPr>
      <t>SW2,lb,k (dir y)</t>
    </r>
  </si>
  <si>
    <t>Carichi accidentali ZONE NON INTERESSATE DAI BINARI</t>
  </si>
  <si>
    <t>Carico accidentale ZONE NON INTERESSATE DAI BINARI</t>
  </si>
  <si>
    <t>Carico accidentale zone non interessate dai binari</t>
  </si>
  <si>
    <t>Avviamento LM71/SW2 (risultante applicata in mezzeria)</t>
  </si>
  <si>
    <t>Frenatura LM71 (risultatnte applicata in mezzeria)</t>
  </si>
  <si>
    <t>Nella modellazione si applicherà il massimo tra LM71 e SW2</t>
  </si>
  <si>
    <t>CARICHI DISTRIBUITI</t>
  </si>
  <si>
    <t>CARICHI SUPERFICIALI</t>
  </si>
  <si>
    <t>Spinta terreno a tergo</t>
  </si>
  <si>
    <t>Peso per unità di volume terreno</t>
  </si>
  <si>
    <t>oefficiente di spinta a riposo k0=(1-senϕ)</t>
  </si>
  <si>
    <t>k0</t>
  </si>
  <si>
    <t>Spinta statica</t>
  </si>
  <si>
    <t>Ss</t>
  </si>
  <si>
    <t>g</t>
  </si>
  <si>
    <t>Spinta terra</t>
  </si>
  <si>
    <t>Sovraspinta carichi</t>
  </si>
  <si>
    <t xml:space="preserve">Ballast </t>
  </si>
  <si>
    <t>Carico SW2</t>
  </si>
  <si>
    <t>Carico Ballast</t>
  </si>
  <si>
    <t>Qbal</t>
  </si>
  <si>
    <t>QLM71</t>
  </si>
  <si>
    <t>QSW2</t>
  </si>
  <si>
    <t>Carico LM71 tratto concentrato</t>
  </si>
  <si>
    <t>Carico LM71 tratto distribuito</t>
  </si>
  <si>
    <t>Spinta Carico Ballast</t>
  </si>
  <si>
    <t>Spinta Carico LM71 tratto concentrato</t>
  </si>
  <si>
    <t>Spinta Carico LM71 tratto distribuito</t>
  </si>
  <si>
    <t>Spinta Carico SW2</t>
  </si>
  <si>
    <t>SQbal</t>
  </si>
  <si>
    <t>SQLM71</t>
  </si>
  <si>
    <t>SQSW2</t>
  </si>
  <si>
    <t>Sq</t>
  </si>
  <si>
    <t>St</t>
  </si>
  <si>
    <t>Sovraspinta sismica</t>
  </si>
  <si>
    <t>categoria del sottosuolo</t>
  </si>
  <si>
    <t>fattore per l'amplif. Spettr maa. Su sito di rif. Rigido</t>
  </si>
  <si>
    <t>acc orizz mass attesa su sito di rif rigido</t>
  </si>
  <si>
    <t>coeff per l'effetto dell'amplif stratigrafica</t>
  </si>
  <si>
    <t>coeff per l'effetto dell'amplif topografica</t>
  </si>
  <si>
    <t>S</t>
  </si>
  <si>
    <t>fattore della categoria del suolo</t>
  </si>
  <si>
    <t>coeff di riduzione dell'acc max attesa al sito</t>
  </si>
  <si>
    <t>acc orizz massima attesa al sito</t>
  </si>
  <si>
    <r>
      <t>F</t>
    </r>
    <r>
      <rPr>
        <vertAlign val="subscript"/>
        <sz val="12"/>
        <color theme="1"/>
        <rFont val="Garamond"/>
        <family val="1"/>
      </rPr>
      <t>0</t>
    </r>
  </si>
  <si>
    <r>
      <t>a</t>
    </r>
    <r>
      <rPr>
        <vertAlign val="subscript"/>
        <sz val="12"/>
        <color theme="1"/>
        <rFont val="Garamond"/>
        <family val="1"/>
      </rPr>
      <t>g</t>
    </r>
  </si>
  <si>
    <r>
      <t>S</t>
    </r>
    <r>
      <rPr>
        <vertAlign val="subscript"/>
        <sz val="12"/>
        <color theme="1"/>
        <rFont val="Garamond"/>
        <family val="1"/>
      </rPr>
      <t>S</t>
    </r>
  </si>
  <si>
    <r>
      <t>S</t>
    </r>
    <r>
      <rPr>
        <vertAlign val="subscript"/>
        <sz val="12"/>
        <color theme="1"/>
        <rFont val="Garamond"/>
        <family val="1"/>
      </rPr>
      <t>T</t>
    </r>
  </si>
  <si>
    <r>
      <rPr>
        <sz val="12"/>
        <color theme="1"/>
        <rFont val="Calibri"/>
        <family val="2"/>
      </rPr>
      <t>β</t>
    </r>
    <r>
      <rPr>
        <vertAlign val="subscript"/>
        <sz val="12"/>
        <color theme="1"/>
        <rFont val="Garamond"/>
        <family val="1"/>
      </rPr>
      <t>m</t>
    </r>
  </si>
  <si>
    <r>
      <t>a</t>
    </r>
    <r>
      <rPr>
        <vertAlign val="subscript"/>
        <sz val="12"/>
        <color theme="1"/>
        <rFont val="Garamond"/>
        <family val="1"/>
      </rPr>
      <t>max</t>
    </r>
  </si>
  <si>
    <r>
      <t>kN/m</t>
    </r>
    <r>
      <rPr>
        <b/>
        <vertAlign val="superscript"/>
        <sz val="12"/>
        <color theme="1"/>
        <rFont val="Calibri"/>
        <family val="2"/>
        <scheme val="minor"/>
      </rPr>
      <t>2</t>
    </r>
  </si>
  <si>
    <t>Spinta di Wood</t>
  </si>
  <si>
    <t>Ssism</t>
  </si>
  <si>
    <t>kh</t>
  </si>
  <si>
    <t>kv</t>
  </si>
  <si>
    <t>componente inerziale orizzontale</t>
  </si>
  <si>
    <t>componente inerziale verticale</t>
  </si>
  <si>
    <t>Sovraspinta inerziale orizzontale</t>
  </si>
  <si>
    <t>Skh</t>
  </si>
  <si>
    <t>Sovraspinta inerziale verticale</t>
  </si>
  <si>
    <t>Skv</t>
  </si>
  <si>
    <t>Spinta sovraccarichi</t>
  </si>
  <si>
    <t>Spinta sismica</t>
  </si>
  <si>
    <t>Swood</t>
  </si>
  <si>
    <t>Angolo di attrito di calcolo</t>
  </si>
  <si>
    <t>ϕ</t>
  </si>
  <si>
    <t>CALCOLO DELLE SPINTE</t>
  </si>
  <si>
    <t>deg</t>
  </si>
  <si>
    <t>Altezza di calcolo (incluso la fondazione e cls magro)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</si>
</sst>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quot; m&quot;"/>
    <numFmt numFmtId="167" formatCode="0.0000"/>
  </numFmts>
  <fonts count="24" x14ac:knownFonts="1">
    <font>
      <sz val="11"/>
      <color theme="1"/>
      <name val="Calibri"/>
      <family val="2"/>
      <scheme val="minor"/>
    </font>
    <font>
      <b/>
      <sz val="11"/>
      <color theme="1"/>
      <name val="Calibri"/>
      <family val="2"/>
      <scheme val="minor"/>
    </font>
    <font>
      <sz val="11"/>
      <color theme="1"/>
      <name val="GreekC"/>
    </font>
    <font>
      <sz val="11"/>
      <color theme="1"/>
      <name val="Calibri"/>
      <family val="2"/>
    </font>
    <font>
      <vertAlign val="subscrip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vertAlign val="subscript"/>
      <sz val="11"/>
      <color theme="1"/>
      <name val="Calibri"/>
      <family val="2"/>
      <scheme val="minor"/>
    </font>
    <font>
      <b/>
      <sz val="11"/>
      <color theme="1"/>
      <name val="Calibri"/>
      <family val="2"/>
    </font>
    <font>
      <vertAlign val="superscript"/>
      <sz val="11"/>
      <color theme="1"/>
      <name val="Calibri"/>
      <family val="2"/>
      <scheme val="minor"/>
    </font>
    <font>
      <b/>
      <i/>
      <sz val="11"/>
      <color theme="1"/>
      <name val="Calibri"/>
      <family val="2"/>
      <scheme val="minor"/>
    </font>
    <font>
      <i/>
      <sz val="11"/>
      <color theme="1"/>
      <name val="Calibri"/>
      <family val="2"/>
      <scheme val="minor"/>
    </font>
    <font>
      <b/>
      <vertAlign val="superscript"/>
      <sz val="11"/>
      <color theme="1"/>
      <name val="Calibri"/>
      <family val="2"/>
      <scheme val="minor"/>
    </font>
    <font>
      <sz val="9"/>
      <color indexed="81"/>
      <name val="Tahoma"/>
      <charset val="1"/>
    </font>
    <font>
      <b/>
      <sz val="9"/>
      <color indexed="81"/>
      <name val="Tahoma"/>
      <charset val="1"/>
    </font>
    <font>
      <vertAlign val="subscript"/>
      <sz val="11"/>
      <color theme="1"/>
      <name val="Calibri"/>
      <family val="2"/>
    </font>
    <font>
      <vertAlign val="superscript"/>
      <sz val="11"/>
      <color theme="1"/>
      <name val="Calibri"/>
      <family val="2"/>
    </font>
    <font>
      <i/>
      <u/>
      <sz val="11"/>
      <color theme="1"/>
      <name val="Calibri"/>
      <family val="2"/>
      <scheme val="minor"/>
    </font>
    <font>
      <sz val="11"/>
      <color theme="1"/>
      <name val="Garamond"/>
      <family val="1"/>
    </font>
    <font>
      <sz val="12"/>
      <color theme="1"/>
      <name val="Garamond"/>
      <family val="1"/>
    </font>
    <font>
      <vertAlign val="subscript"/>
      <sz val="12"/>
      <color theme="1"/>
      <name val="Garamond"/>
      <family val="1"/>
    </font>
    <font>
      <sz val="12"/>
      <color theme="1"/>
      <name val="Calibri"/>
      <family val="2"/>
    </font>
    <font>
      <b/>
      <vertAlign val="superscript"/>
      <sz val="12"/>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25">
    <border>
      <left/>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
    <xf numFmtId="0" fontId="0" fillId="0" borderId="0"/>
  </cellStyleXfs>
  <cellXfs count="104">
    <xf numFmtId="0" fontId="0" fillId="0" borderId="0" xfId="0"/>
    <xf numFmtId="0" fontId="0" fillId="0" borderId="0" xfId="0" applyAlignment="1">
      <alignment horizontal="center" vertical="center"/>
    </xf>
    <xf numFmtId="0" fontId="1" fillId="0" borderId="0" xfId="0" applyFont="1"/>
    <xf numFmtId="0" fontId="3" fillId="0" borderId="0" xfId="0" applyFont="1"/>
    <xf numFmtId="0" fontId="0" fillId="0" borderId="0" xfId="0" applyFont="1" applyAlignment="1">
      <alignment horizontal="center" vertical="center"/>
    </xf>
    <xf numFmtId="0" fontId="1" fillId="0" borderId="0" xfId="0" applyFont="1" applyAlignment="1">
      <alignment horizontal="center" vertical="center"/>
    </xf>
    <xf numFmtId="164" fontId="0" fillId="0" borderId="0" xfId="0" applyNumberFormat="1" applyAlignment="1">
      <alignment horizontal="center" vertical="center"/>
    </xf>
    <xf numFmtId="0" fontId="0" fillId="0" borderId="11" xfId="0" applyBorder="1" applyAlignment="1">
      <alignment horizontal="center" vertical="center"/>
    </xf>
    <xf numFmtId="0" fontId="0" fillId="0" borderId="11" xfId="0" applyBorder="1"/>
    <xf numFmtId="2" fontId="0" fillId="0" borderId="0" xfId="0" applyNumberFormat="1" applyAlignment="1">
      <alignment horizontal="center" vertical="center"/>
    </xf>
    <xf numFmtId="164" fontId="0" fillId="0" borderId="11" xfId="0" applyNumberFormat="1" applyBorder="1" applyAlignment="1">
      <alignment horizontal="center" vertical="center"/>
    </xf>
    <xf numFmtId="0" fontId="0" fillId="0" borderId="13" xfId="0" applyFill="1" applyBorder="1"/>
    <xf numFmtId="0" fontId="0" fillId="0" borderId="0" xfId="0" applyBorder="1" applyAlignment="1">
      <alignment horizontal="center" vertical="center"/>
    </xf>
    <xf numFmtId="0" fontId="0" fillId="0" borderId="0" xfId="0" applyFill="1" applyBorder="1"/>
    <xf numFmtId="0" fontId="0" fillId="0" borderId="0" xfId="0" applyBorder="1"/>
    <xf numFmtId="0" fontId="6" fillId="0" borderId="0" xfId="0" applyFont="1"/>
    <xf numFmtId="0" fontId="6" fillId="0" borderId="0" xfId="0" applyFont="1" applyAlignment="1">
      <alignment vertical="center" wrapText="1"/>
    </xf>
    <xf numFmtId="0" fontId="5" fillId="0" borderId="0" xfId="0" applyFont="1" applyFill="1"/>
    <xf numFmtId="0" fontId="1" fillId="0" borderId="0" xfId="0" applyFont="1" applyAlignment="1"/>
    <xf numFmtId="0" fontId="0" fillId="0" borderId="0" xfId="0" applyAlignment="1">
      <alignment wrapText="1"/>
    </xf>
    <xf numFmtId="0" fontId="7" fillId="0" borderId="0" xfId="0" applyFont="1"/>
    <xf numFmtId="166" fontId="0" fillId="0" borderId="0" xfId="0" applyNumberFormat="1" applyAlignment="1">
      <alignment horizontal="center" vertical="center"/>
    </xf>
    <xf numFmtId="0" fontId="0" fillId="0" borderId="0" xfId="0" applyFont="1"/>
    <xf numFmtId="2"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0" fillId="0" borderId="0" xfId="0" applyAlignment="1">
      <alignment horizontal="left" vertical="center" wrapText="1"/>
    </xf>
    <xf numFmtId="11" fontId="0" fillId="0" borderId="0" xfId="0" applyNumberFormat="1" applyAlignment="1">
      <alignment horizontal="center" vertical="center"/>
    </xf>
    <xf numFmtId="1" fontId="0" fillId="0" borderId="0" xfId="0" applyNumberFormat="1" applyAlignment="1">
      <alignment horizontal="center" vertical="center"/>
    </xf>
    <xf numFmtId="0" fontId="1" fillId="0" borderId="0" xfId="0" applyFont="1" applyAlignment="1">
      <alignment wrapText="1"/>
    </xf>
    <xf numFmtId="2" fontId="0" fillId="0" borderId="0" xfId="0" applyNumberFormat="1" applyFont="1" applyAlignment="1">
      <alignment horizontal="center" vertical="center"/>
    </xf>
    <xf numFmtId="0" fontId="0" fillId="0" borderId="0" xfId="0" applyFont="1" applyAlignment="1">
      <alignment wrapText="1"/>
    </xf>
    <xf numFmtId="0" fontId="11" fillId="0" borderId="0" xfId="0" applyFont="1"/>
    <xf numFmtId="0" fontId="5" fillId="2" borderId="0" xfId="0" applyFont="1" applyFill="1"/>
    <xf numFmtId="0" fontId="5" fillId="0" borderId="0" xfId="0" applyFont="1" applyBorder="1" applyAlignment="1">
      <alignment horizontal="center"/>
    </xf>
    <xf numFmtId="0" fontId="6" fillId="2" borderId="0" xfId="0" applyFont="1" applyFill="1"/>
    <xf numFmtId="0" fontId="6" fillId="3" borderId="0" xfId="0" applyFont="1" applyFill="1"/>
    <xf numFmtId="0" fontId="0" fillId="0" borderId="0" xfId="0" applyAlignment="1">
      <alignment vertical="center"/>
    </xf>
    <xf numFmtId="165" fontId="0" fillId="0" borderId="0" xfId="0" applyNumberFormat="1" applyAlignment="1">
      <alignment horizontal="center" vertical="center"/>
    </xf>
    <xf numFmtId="2" fontId="0" fillId="0" borderId="12" xfId="0" applyNumberFormat="1" applyBorder="1" applyAlignment="1">
      <alignment horizontal="center" vertical="center"/>
    </xf>
    <xf numFmtId="2" fontId="0" fillId="0" borderId="14" xfId="0" applyNumberFormat="1" applyBorder="1" applyAlignment="1">
      <alignment horizontal="center" vertical="center"/>
    </xf>
    <xf numFmtId="0" fontId="0" fillId="0" borderId="0" xfId="0" applyFont="1" applyAlignment="1">
      <alignment vertical="center" wrapText="1"/>
    </xf>
    <xf numFmtId="0" fontId="0" fillId="0" borderId="0" xfId="0" applyAlignment="1">
      <alignment horizontal="right" vertical="center"/>
    </xf>
    <xf numFmtId="0" fontId="0" fillId="0" borderId="0" xfId="0" applyFill="1" applyBorder="1" applyAlignment="1">
      <alignment vertical="center" textRotation="90" wrapText="1"/>
    </xf>
    <xf numFmtId="0" fontId="0" fillId="0" borderId="0" xfId="0" applyFont="1" applyAlignment="1">
      <alignment horizontal="left" vertical="center"/>
    </xf>
    <xf numFmtId="0" fontId="9" fillId="0" borderId="0" xfId="0" applyFont="1" applyAlignment="1">
      <alignment horizontal="center" vertical="center"/>
    </xf>
    <xf numFmtId="2" fontId="0" fillId="0" borderId="0" xfId="0" applyNumberFormat="1"/>
    <xf numFmtId="0" fontId="0" fillId="0" borderId="11" xfId="0" applyFont="1" applyBorder="1"/>
    <xf numFmtId="0" fontId="0" fillId="0" borderId="11" xfId="0" applyFont="1" applyBorder="1" applyAlignment="1">
      <alignment horizontal="center" vertical="center"/>
    </xf>
    <xf numFmtId="2" fontId="0" fillId="0" borderId="11" xfId="0" applyNumberFormat="1" applyFont="1" applyBorder="1" applyAlignment="1">
      <alignment horizontal="center" vertical="center"/>
    </xf>
    <xf numFmtId="166" fontId="0" fillId="0" borderId="0" xfId="0" applyNumberFormat="1" applyBorder="1" applyAlignment="1">
      <alignment horizontal="center" vertical="center"/>
    </xf>
    <xf numFmtId="0" fontId="1" fillId="0" borderId="11" xfId="0" applyFont="1" applyBorder="1"/>
    <xf numFmtId="0" fontId="0" fillId="0" borderId="13" xfId="0" applyBorder="1"/>
    <xf numFmtId="0" fontId="0" fillId="0" borderId="17" xfId="0" applyBorder="1"/>
    <xf numFmtId="0" fontId="0" fillId="0" borderId="18" xfId="0" applyBorder="1"/>
    <xf numFmtId="2" fontId="0" fillId="0" borderId="0" xfId="0" applyNumberFormat="1" applyBorder="1"/>
    <xf numFmtId="0" fontId="0" fillId="0" borderId="19" xfId="0" applyBorder="1"/>
    <xf numFmtId="0" fontId="3" fillId="0" borderId="18" xfId="0" applyFont="1" applyBorder="1"/>
    <xf numFmtId="0" fontId="3" fillId="0" borderId="20" xfId="0" applyFont="1" applyBorder="1"/>
    <xf numFmtId="2" fontId="0" fillId="0" borderId="21" xfId="0" applyNumberFormat="1" applyBorder="1"/>
    <xf numFmtId="0" fontId="0" fillId="0" borderId="21" xfId="0" applyBorder="1"/>
    <xf numFmtId="0" fontId="0" fillId="0" borderId="22" xfId="0" applyBorder="1"/>
    <xf numFmtId="0" fontId="3" fillId="0" borderId="0" xfId="0" applyFont="1" applyBorder="1"/>
    <xf numFmtId="2" fontId="0" fillId="0" borderId="11" xfId="0" applyNumberFormat="1" applyBorder="1" applyAlignment="1">
      <alignment horizontal="center" vertical="center"/>
    </xf>
    <xf numFmtId="2" fontId="0" fillId="0" borderId="23" xfId="0" applyNumberFormat="1" applyBorder="1" applyAlignment="1">
      <alignment horizontal="center" vertical="center"/>
    </xf>
    <xf numFmtId="2" fontId="0" fillId="0" borderId="24" xfId="0" applyNumberFormat="1" applyBorder="1" applyAlignment="1">
      <alignment horizontal="center" vertical="center"/>
    </xf>
    <xf numFmtId="2" fontId="0" fillId="0" borderId="11" xfId="0" applyNumberFormat="1" applyBorder="1"/>
    <xf numFmtId="0" fontId="0" fillId="0" borderId="0" xfId="0" applyAlignment="1">
      <alignment horizontal="center"/>
    </xf>
    <xf numFmtId="0" fontId="0" fillId="0" borderId="0" xfId="0" quotePrefix="1" applyAlignment="1">
      <alignment horizontal="center" vertical="center"/>
    </xf>
    <xf numFmtId="0" fontId="2" fillId="0" borderId="0" xfId="0" applyFont="1" applyAlignment="1">
      <alignment horizontal="center" vertical="center"/>
    </xf>
    <xf numFmtId="0" fontId="1" fillId="4" borderId="0" xfId="0" applyFont="1" applyFill="1"/>
    <xf numFmtId="167" fontId="0" fillId="0" borderId="0" xfId="0" applyNumberFormat="1" applyAlignment="1">
      <alignment horizontal="center" vertical="center"/>
    </xf>
    <xf numFmtId="0" fontId="19" fillId="0" borderId="0" xfId="0" applyFont="1" applyBorder="1" applyAlignment="1"/>
    <xf numFmtId="0" fontId="19" fillId="0" borderId="0" xfId="0" applyFont="1" applyBorder="1" applyAlignment="1">
      <alignment horizontal="center" vertical="center"/>
    </xf>
    <xf numFmtId="0" fontId="0" fillId="0" borderId="0" xfId="0" applyFont="1" applyBorder="1" applyAlignment="1"/>
    <xf numFmtId="0" fontId="20" fillId="0" borderId="0" xfId="0"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20" fillId="0" borderId="0" xfId="0" applyFont="1" applyFill="1" applyBorder="1" applyAlignment="1">
      <alignment horizontal="center" vertical="center"/>
    </xf>
    <xf numFmtId="0" fontId="0" fillId="0" borderId="0" xfId="0" applyFont="1" applyFill="1" applyBorder="1" applyAlignment="1"/>
    <xf numFmtId="165" fontId="0" fillId="0" borderId="12" xfId="0" applyNumberFormat="1" applyBorder="1" applyAlignment="1">
      <alignment horizontal="center" vertical="center"/>
    </xf>
    <xf numFmtId="0" fontId="5" fillId="0" borderId="11" xfId="0" applyFont="1" applyBorder="1" applyAlignment="1">
      <alignment horizontal="center"/>
    </xf>
    <xf numFmtId="0" fontId="18" fillId="0" borderId="0" xfId="0" applyFont="1" applyAlignment="1">
      <alignment horizontal="center"/>
    </xf>
    <xf numFmtId="0" fontId="6" fillId="0" borderId="11" xfId="0" applyFont="1" applyBorder="1" applyAlignment="1">
      <alignment horizontal="center"/>
    </xf>
    <xf numFmtId="0" fontId="0" fillId="4" borderId="15" xfId="0" applyFill="1" applyBorder="1" applyAlignment="1">
      <alignment horizontal="center" vertical="center" textRotation="90" wrapText="1"/>
    </xf>
    <xf numFmtId="0" fontId="0" fillId="4" borderId="9" xfId="0" applyFill="1" applyBorder="1" applyAlignment="1">
      <alignment horizontal="center" vertical="center" textRotation="90" wrapText="1"/>
    </xf>
    <xf numFmtId="0" fontId="0" fillId="4" borderId="16" xfId="0" applyFill="1" applyBorder="1" applyAlignment="1">
      <alignment horizontal="center" vertical="center" textRotation="90" wrapText="1"/>
    </xf>
    <xf numFmtId="0" fontId="0" fillId="6" borderId="13" xfId="0" applyFill="1" applyBorder="1" applyAlignment="1">
      <alignment horizontal="center" vertical="center" textRotation="90" wrapText="1"/>
    </xf>
    <xf numFmtId="0" fontId="0" fillId="6" borderId="0" xfId="0" applyFill="1" applyBorder="1" applyAlignment="1">
      <alignment horizontal="center" vertical="center" textRotation="90" wrapText="1"/>
    </xf>
    <xf numFmtId="0" fontId="0" fillId="0" borderId="11" xfId="0" applyBorder="1" applyAlignment="1">
      <alignment horizontal="center"/>
    </xf>
    <xf numFmtId="0" fontId="1" fillId="0" borderId="11" xfId="0" applyFont="1" applyBorder="1" applyAlignment="1">
      <alignment horizontal="center"/>
    </xf>
    <xf numFmtId="0" fontId="12" fillId="0" borderId="0" xfId="0" applyFont="1" applyAlignment="1">
      <alignment horizontal="left"/>
    </xf>
    <xf numFmtId="0" fontId="0" fillId="5" borderId="15" xfId="0" applyFill="1" applyBorder="1" applyAlignment="1">
      <alignment horizontal="center" vertical="center" textRotation="90" wrapText="1"/>
    </xf>
    <xf numFmtId="0" fontId="0" fillId="5" borderId="9" xfId="0" applyFill="1" applyBorder="1" applyAlignment="1">
      <alignment horizontal="center" vertical="center" textRotation="90" wrapText="1"/>
    </xf>
    <xf numFmtId="0" fontId="0" fillId="5" borderId="16" xfId="0" applyFill="1" applyBorder="1" applyAlignment="1">
      <alignment horizontal="center" vertical="center" textRotation="90" wrapText="1"/>
    </xf>
    <xf numFmtId="166" fontId="0" fillId="0" borderId="1" xfId="0" applyNumberForma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1">
    <cellStyle name="Normale"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122</xdr:row>
      <xdr:rowOff>121516</xdr:rowOff>
    </xdr:from>
    <xdr:to>
      <xdr:col>2</xdr:col>
      <xdr:colOff>3398520</xdr:colOff>
      <xdr:row>125</xdr:row>
      <xdr:rowOff>55149</xdr:rowOff>
    </xdr:to>
    <xdr:pic>
      <xdr:nvPicPr>
        <xdr:cNvPr id="7" name="Immagine 6"/>
        <xdr:cNvPicPr>
          <a:picLocks noChangeAspect="1"/>
        </xdr:cNvPicPr>
      </xdr:nvPicPr>
      <xdr:blipFill>
        <a:blip xmlns:r="http://schemas.openxmlformats.org/officeDocument/2006/relationships" r:embed="rId1"/>
        <a:stretch>
          <a:fillRect/>
        </a:stretch>
      </xdr:blipFill>
      <xdr:spPr>
        <a:xfrm>
          <a:off x="952500" y="22410016"/>
          <a:ext cx="3322320" cy="482273"/>
        </a:xfrm>
        <a:prstGeom prst="rect">
          <a:avLst/>
        </a:prstGeom>
      </xdr:spPr>
    </xdr:pic>
    <xdr:clientData/>
  </xdr:twoCellAnchor>
  <xdr:twoCellAnchor editAs="oneCell">
    <xdr:from>
      <xdr:col>2</xdr:col>
      <xdr:colOff>60961</xdr:colOff>
      <xdr:row>181</xdr:row>
      <xdr:rowOff>76201</xdr:rowOff>
    </xdr:from>
    <xdr:to>
      <xdr:col>2</xdr:col>
      <xdr:colOff>2194560</xdr:colOff>
      <xdr:row>186</xdr:row>
      <xdr:rowOff>2439</xdr:rowOff>
    </xdr:to>
    <xdr:pic>
      <xdr:nvPicPr>
        <xdr:cNvPr id="16" name="Immagine 15"/>
        <xdr:cNvPicPr>
          <a:picLocks noChangeAspect="1"/>
        </xdr:cNvPicPr>
      </xdr:nvPicPr>
      <xdr:blipFill>
        <a:blip xmlns:r="http://schemas.openxmlformats.org/officeDocument/2006/relationships" r:embed="rId2"/>
        <a:stretch>
          <a:fillRect/>
        </a:stretch>
      </xdr:blipFill>
      <xdr:spPr>
        <a:xfrm>
          <a:off x="937261" y="35135821"/>
          <a:ext cx="2133599" cy="840638"/>
        </a:xfrm>
        <a:prstGeom prst="rect">
          <a:avLst/>
        </a:prstGeom>
      </xdr:spPr>
    </xdr:pic>
    <xdr:clientData/>
  </xdr:twoCellAnchor>
  <xdr:twoCellAnchor editAs="oneCell">
    <xdr:from>
      <xdr:col>2</xdr:col>
      <xdr:colOff>45720</xdr:colOff>
      <xdr:row>178</xdr:row>
      <xdr:rowOff>15241</xdr:rowOff>
    </xdr:from>
    <xdr:to>
      <xdr:col>2</xdr:col>
      <xdr:colOff>2263140</xdr:colOff>
      <xdr:row>181</xdr:row>
      <xdr:rowOff>3275</xdr:rowOff>
    </xdr:to>
    <xdr:pic>
      <xdr:nvPicPr>
        <xdr:cNvPr id="17" name="Immagine 16"/>
        <xdr:cNvPicPr>
          <a:picLocks noChangeAspect="1"/>
        </xdr:cNvPicPr>
      </xdr:nvPicPr>
      <xdr:blipFill>
        <a:blip xmlns:r="http://schemas.openxmlformats.org/officeDocument/2006/relationships" r:embed="rId3"/>
        <a:stretch>
          <a:fillRect/>
        </a:stretch>
      </xdr:blipFill>
      <xdr:spPr>
        <a:xfrm>
          <a:off x="922020" y="34343341"/>
          <a:ext cx="2217420" cy="536674"/>
        </a:xfrm>
        <a:prstGeom prst="rect">
          <a:avLst/>
        </a:prstGeom>
      </xdr:spPr>
    </xdr:pic>
    <xdr:clientData/>
  </xdr:twoCellAnchor>
  <xdr:twoCellAnchor editAs="oneCell">
    <xdr:from>
      <xdr:col>2</xdr:col>
      <xdr:colOff>213360</xdr:colOff>
      <xdr:row>139</xdr:row>
      <xdr:rowOff>7278</xdr:rowOff>
    </xdr:from>
    <xdr:to>
      <xdr:col>2</xdr:col>
      <xdr:colOff>3131820</xdr:colOff>
      <xdr:row>159</xdr:row>
      <xdr:rowOff>98860</xdr:rowOff>
    </xdr:to>
    <xdr:pic>
      <xdr:nvPicPr>
        <xdr:cNvPr id="19" name="Immagine 18"/>
        <xdr:cNvPicPr>
          <a:picLocks noChangeAspect="1"/>
        </xdr:cNvPicPr>
      </xdr:nvPicPr>
      <xdr:blipFill>
        <a:blip xmlns:r="http://schemas.openxmlformats.org/officeDocument/2006/relationships" r:embed="rId4"/>
        <a:stretch>
          <a:fillRect/>
        </a:stretch>
      </xdr:blipFill>
      <xdr:spPr>
        <a:xfrm>
          <a:off x="1089660" y="25930518"/>
          <a:ext cx="2918460" cy="3749182"/>
        </a:xfrm>
        <a:prstGeom prst="rect">
          <a:avLst/>
        </a:prstGeom>
      </xdr:spPr>
    </xdr:pic>
    <xdr:clientData/>
  </xdr:twoCellAnchor>
  <xdr:twoCellAnchor editAs="oneCell">
    <xdr:from>
      <xdr:col>2</xdr:col>
      <xdr:colOff>1095377</xdr:colOff>
      <xdr:row>21</xdr:row>
      <xdr:rowOff>38099</xdr:rowOff>
    </xdr:from>
    <xdr:to>
      <xdr:col>2</xdr:col>
      <xdr:colOff>3581401</xdr:colOff>
      <xdr:row>32</xdr:row>
      <xdr:rowOff>123824</xdr:rowOff>
    </xdr:to>
    <xdr:pic>
      <xdr:nvPicPr>
        <xdr:cNvPr id="10" name="Immagine 9"/>
        <xdr:cNvPicPr/>
      </xdr:nvPicPr>
      <xdr:blipFill rotWithShape="1">
        <a:blip xmlns:r="http://schemas.openxmlformats.org/officeDocument/2006/relationships" r:embed="rId5"/>
        <a:srcRect l="22328" r="21643" b="16277"/>
        <a:stretch/>
      </xdr:blipFill>
      <xdr:spPr bwMode="auto">
        <a:xfrm>
          <a:off x="1962152" y="4448174"/>
          <a:ext cx="2486024" cy="21812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3143251</xdr:colOff>
      <xdr:row>34</xdr:row>
      <xdr:rowOff>142875</xdr:rowOff>
    </xdr:from>
    <xdr:to>
      <xdr:col>4</xdr:col>
      <xdr:colOff>371476</xdr:colOff>
      <xdr:row>45</xdr:row>
      <xdr:rowOff>80010</xdr:rowOff>
    </xdr:to>
    <xdr:pic>
      <xdr:nvPicPr>
        <xdr:cNvPr id="11" name="Immagine 10"/>
        <xdr:cNvPicPr/>
      </xdr:nvPicPr>
      <xdr:blipFill>
        <a:blip xmlns:r="http://schemas.openxmlformats.org/officeDocument/2006/relationships" r:embed="rId6" cstate="print"/>
        <a:stretch>
          <a:fillRect/>
        </a:stretch>
      </xdr:blipFill>
      <xdr:spPr>
        <a:xfrm>
          <a:off x="4010026" y="7258050"/>
          <a:ext cx="2305050" cy="2032635"/>
        </a:xfrm>
        <a:prstGeom prst="rect">
          <a:avLst/>
        </a:prstGeom>
      </xdr:spPr>
    </xdr:pic>
    <xdr:clientData/>
  </xdr:twoCellAnchor>
  <xdr:twoCellAnchor editAs="oneCell">
    <xdr:from>
      <xdr:col>2</xdr:col>
      <xdr:colOff>304800</xdr:colOff>
      <xdr:row>36</xdr:row>
      <xdr:rowOff>9525</xdr:rowOff>
    </xdr:from>
    <xdr:to>
      <xdr:col>2</xdr:col>
      <xdr:colOff>2952750</xdr:colOff>
      <xdr:row>39</xdr:row>
      <xdr:rowOff>104775</xdr:rowOff>
    </xdr:to>
    <xdr:pic>
      <xdr:nvPicPr>
        <xdr:cNvPr id="12" name="Immagine 11"/>
        <xdr:cNvPicPr/>
      </xdr:nvPicPr>
      <xdr:blipFill>
        <a:blip xmlns:r="http://schemas.openxmlformats.org/officeDocument/2006/relationships" r:embed="rId7"/>
        <a:stretch>
          <a:fillRect/>
        </a:stretch>
      </xdr:blipFill>
      <xdr:spPr>
        <a:xfrm>
          <a:off x="1171575" y="7562850"/>
          <a:ext cx="2647950" cy="666750"/>
        </a:xfrm>
        <a:prstGeom prst="rect">
          <a:avLst/>
        </a:prstGeom>
      </xdr:spPr>
    </xdr:pic>
    <xdr:clientData/>
  </xdr:twoCellAnchor>
  <xdr:twoCellAnchor editAs="oneCell">
    <xdr:from>
      <xdr:col>1</xdr:col>
      <xdr:colOff>752475</xdr:colOff>
      <xdr:row>59</xdr:row>
      <xdr:rowOff>38100</xdr:rowOff>
    </xdr:from>
    <xdr:to>
      <xdr:col>4</xdr:col>
      <xdr:colOff>52705</xdr:colOff>
      <xdr:row>66</xdr:row>
      <xdr:rowOff>83820</xdr:rowOff>
    </xdr:to>
    <xdr:pic>
      <xdr:nvPicPr>
        <xdr:cNvPr id="13" name="Immagine 12"/>
        <xdr:cNvPicPr/>
      </xdr:nvPicPr>
      <xdr:blipFill>
        <a:blip xmlns:r="http://schemas.openxmlformats.org/officeDocument/2006/relationships" r:embed="rId8"/>
        <a:stretch>
          <a:fillRect/>
        </a:stretch>
      </xdr:blipFill>
      <xdr:spPr>
        <a:xfrm>
          <a:off x="1009650" y="9620250"/>
          <a:ext cx="6120130" cy="1379220"/>
        </a:xfrm>
        <a:prstGeom prst="rect">
          <a:avLst/>
        </a:prstGeom>
      </xdr:spPr>
    </xdr:pic>
    <xdr:clientData/>
  </xdr:twoCellAnchor>
  <xdr:twoCellAnchor editAs="oneCell">
    <xdr:from>
      <xdr:col>2</xdr:col>
      <xdr:colOff>0</xdr:colOff>
      <xdr:row>96</xdr:row>
      <xdr:rowOff>0</xdr:rowOff>
    </xdr:from>
    <xdr:to>
      <xdr:col>2</xdr:col>
      <xdr:colOff>3291840</xdr:colOff>
      <xdr:row>100</xdr:row>
      <xdr:rowOff>169752</xdr:rowOff>
    </xdr:to>
    <xdr:pic>
      <xdr:nvPicPr>
        <xdr:cNvPr id="14" name="Immagine 13"/>
        <xdr:cNvPicPr>
          <a:picLocks noChangeAspect="1"/>
        </xdr:cNvPicPr>
      </xdr:nvPicPr>
      <xdr:blipFill>
        <a:blip xmlns:r="http://schemas.openxmlformats.org/officeDocument/2006/relationships" r:embed="rId9"/>
        <a:stretch>
          <a:fillRect/>
        </a:stretch>
      </xdr:blipFill>
      <xdr:spPr>
        <a:xfrm>
          <a:off x="2000250" y="16935450"/>
          <a:ext cx="3291840" cy="893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15240</xdr:colOff>
      <xdr:row>1</xdr:row>
      <xdr:rowOff>68580</xdr:rowOff>
    </xdr:from>
    <xdr:ext cx="5482635" cy="2161667"/>
    <xdr:pic>
      <xdr:nvPicPr>
        <xdr:cNvPr id="9" name="Immagine 8"/>
        <xdr:cNvPicPr>
          <a:picLocks noChangeAspect="1"/>
        </xdr:cNvPicPr>
      </xdr:nvPicPr>
      <xdr:blipFill>
        <a:blip xmlns:r="http://schemas.openxmlformats.org/officeDocument/2006/relationships" r:embed="rId1"/>
        <a:stretch>
          <a:fillRect/>
        </a:stretch>
      </xdr:blipFill>
      <xdr:spPr>
        <a:xfrm>
          <a:off x="891540" y="23522940"/>
          <a:ext cx="5482635" cy="2161667"/>
        </a:xfrm>
        <a:prstGeom prst="rect">
          <a:avLst/>
        </a:prstGeom>
      </xdr:spPr>
    </xdr:pic>
    <xdr:clientData/>
  </xdr:oneCellAnchor>
  <xdr:oneCellAnchor>
    <xdr:from>
      <xdr:col>1</xdr:col>
      <xdr:colOff>30481</xdr:colOff>
      <xdr:row>13</xdr:row>
      <xdr:rowOff>38100</xdr:rowOff>
    </xdr:from>
    <xdr:ext cx="5450249" cy="1287780"/>
    <xdr:pic>
      <xdr:nvPicPr>
        <xdr:cNvPr id="10" name="Immagine 9"/>
        <xdr:cNvPicPr>
          <a:picLocks noChangeAspect="1"/>
        </xdr:cNvPicPr>
      </xdr:nvPicPr>
      <xdr:blipFill>
        <a:blip xmlns:r="http://schemas.openxmlformats.org/officeDocument/2006/relationships" r:embed="rId2"/>
        <a:stretch>
          <a:fillRect/>
        </a:stretch>
      </xdr:blipFill>
      <xdr:spPr>
        <a:xfrm>
          <a:off x="906781" y="25687020"/>
          <a:ext cx="5450249" cy="1287780"/>
        </a:xfrm>
        <a:prstGeom prst="rect">
          <a:avLst/>
        </a:prstGeom>
      </xdr:spPr>
    </xdr:pic>
    <xdr:clientData/>
  </xdr:oneCellAnchor>
  <xdr:oneCellAnchor>
    <xdr:from>
      <xdr:col>1</xdr:col>
      <xdr:colOff>15241</xdr:colOff>
      <xdr:row>20</xdr:row>
      <xdr:rowOff>51449</xdr:rowOff>
    </xdr:from>
    <xdr:ext cx="5440680" cy="3470080"/>
    <xdr:pic>
      <xdr:nvPicPr>
        <xdr:cNvPr id="11" name="Immagine 10"/>
        <xdr:cNvPicPr>
          <a:picLocks noChangeAspect="1"/>
        </xdr:cNvPicPr>
      </xdr:nvPicPr>
      <xdr:blipFill>
        <a:blip xmlns:r="http://schemas.openxmlformats.org/officeDocument/2006/relationships" r:embed="rId3"/>
        <a:stretch>
          <a:fillRect/>
        </a:stretch>
      </xdr:blipFill>
      <xdr:spPr>
        <a:xfrm>
          <a:off x="891541" y="26980529"/>
          <a:ext cx="5440680" cy="3470080"/>
        </a:xfrm>
        <a:prstGeom prst="rect">
          <a:avLst/>
        </a:prstGeom>
      </xdr:spPr>
    </xdr:pic>
    <xdr:clientData/>
  </xdr:oneCellAnchor>
  <xdr:oneCellAnchor>
    <xdr:from>
      <xdr:col>1</xdr:col>
      <xdr:colOff>7621</xdr:colOff>
      <xdr:row>39</xdr:row>
      <xdr:rowOff>0</xdr:rowOff>
    </xdr:from>
    <xdr:ext cx="5475777" cy="4241441"/>
    <xdr:pic>
      <xdr:nvPicPr>
        <xdr:cNvPr id="12" name="Immagine 11"/>
        <xdr:cNvPicPr>
          <a:picLocks noChangeAspect="1"/>
        </xdr:cNvPicPr>
      </xdr:nvPicPr>
      <xdr:blipFill>
        <a:blip xmlns:r="http://schemas.openxmlformats.org/officeDocument/2006/relationships" r:embed="rId4"/>
        <a:stretch>
          <a:fillRect/>
        </a:stretch>
      </xdr:blipFill>
      <xdr:spPr>
        <a:xfrm>
          <a:off x="883921" y="30434280"/>
          <a:ext cx="5475777" cy="4241441"/>
        </a:xfrm>
        <a:prstGeom prst="rect">
          <a:avLst/>
        </a:prstGeom>
      </xdr:spPr>
    </xdr:pic>
    <xdr:clientData/>
  </xdr:oneCellAnchor>
  <xdr:oneCellAnchor>
    <xdr:from>
      <xdr:col>0</xdr:col>
      <xdr:colOff>594360</xdr:colOff>
      <xdr:row>62</xdr:row>
      <xdr:rowOff>29832</xdr:rowOff>
    </xdr:from>
    <xdr:ext cx="5486400" cy="1313288"/>
    <xdr:pic>
      <xdr:nvPicPr>
        <xdr:cNvPr id="13" name="Immagine 12"/>
        <xdr:cNvPicPr>
          <a:picLocks noChangeAspect="1"/>
        </xdr:cNvPicPr>
      </xdr:nvPicPr>
      <xdr:blipFill>
        <a:blip xmlns:r="http://schemas.openxmlformats.org/officeDocument/2006/relationships" r:embed="rId5"/>
        <a:stretch>
          <a:fillRect/>
        </a:stretch>
      </xdr:blipFill>
      <xdr:spPr>
        <a:xfrm>
          <a:off x="861060" y="34670352"/>
          <a:ext cx="5486400" cy="1313288"/>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272"/>
  <sheetViews>
    <sheetView showGridLines="0" showRowColHeaders="0" tabSelected="1" zoomScaleNormal="100" workbookViewId="0">
      <selection activeCell="B2" sqref="B2:G2"/>
    </sheetView>
  </sheetViews>
  <sheetFormatPr defaultRowHeight="15" x14ac:dyDescent="0.25"/>
  <cols>
    <col min="1" max="1" width="3.85546875" customWidth="1"/>
    <col min="2" max="2" width="26.140625" customWidth="1"/>
    <col min="3" max="3" width="62.7109375" customWidth="1"/>
    <col min="4" max="4" width="13.42578125" customWidth="1"/>
    <col min="5" max="5" width="14.7109375" bestFit="1" customWidth="1"/>
    <col min="8" max="8" width="14.140625" customWidth="1"/>
    <col min="9" max="9" width="5.28515625" customWidth="1"/>
    <col min="10" max="10" width="9.140625" hidden="1" customWidth="1"/>
    <col min="11" max="11" width="46.7109375" customWidth="1"/>
    <col min="12" max="12" width="8.7109375" customWidth="1"/>
    <col min="13" max="13" width="17.140625" customWidth="1"/>
    <col min="15" max="15" width="6.28515625" customWidth="1"/>
    <col min="16" max="16" width="19" customWidth="1"/>
  </cols>
  <sheetData>
    <row r="2" spans="2:16" ht="15.75" x14ac:dyDescent="0.25">
      <c r="B2" s="82" t="s">
        <v>0</v>
      </c>
      <c r="C2" s="82"/>
      <c r="D2" s="82"/>
      <c r="E2" s="82"/>
      <c r="F2" s="82"/>
      <c r="G2" s="82"/>
      <c r="H2" s="18"/>
      <c r="I2" s="18"/>
      <c r="J2" s="18"/>
    </row>
    <row r="3" spans="2:16" ht="15.75" thickBot="1" x14ac:dyDescent="0.3">
      <c r="K3" s="14"/>
      <c r="L3" s="14"/>
      <c r="M3" s="14"/>
      <c r="N3" s="14"/>
      <c r="O3" s="14"/>
      <c r="P3" s="14"/>
    </row>
    <row r="4" spans="2:16" ht="16.5" thickTop="1" thickBot="1" x14ac:dyDescent="0.3">
      <c r="C4" t="s">
        <v>145</v>
      </c>
      <c r="D4" s="1" t="s">
        <v>4</v>
      </c>
      <c r="E4" s="38">
        <v>5.7</v>
      </c>
      <c r="F4" t="s">
        <v>1</v>
      </c>
      <c r="K4" s="14"/>
      <c r="L4" s="14"/>
      <c r="M4" s="14"/>
      <c r="N4" s="14"/>
      <c r="O4" s="14"/>
      <c r="P4" s="14"/>
    </row>
    <row r="5" spans="2:16" ht="16.5" thickTop="1" thickBot="1" x14ac:dyDescent="0.3">
      <c r="C5" s="20" t="s">
        <v>3</v>
      </c>
      <c r="D5" s="1"/>
      <c r="E5" s="39"/>
      <c r="K5" s="14"/>
      <c r="L5" s="14"/>
      <c r="M5" s="14"/>
      <c r="N5" s="14"/>
      <c r="O5" s="14"/>
      <c r="P5" s="14"/>
    </row>
    <row r="6" spans="2:16" ht="16.5" thickTop="1" thickBot="1" x14ac:dyDescent="0.3">
      <c r="C6" t="s">
        <v>139</v>
      </c>
      <c r="D6" s="1" t="s">
        <v>5</v>
      </c>
      <c r="E6" s="38">
        <v>2.8</v>
      </c>
      <c r="F6" t="s">
        <v>1</v>
      </c>
      <c r="K6" s="14"/>
      <c r="L6" s="14"/>
      <c r="M6" s="14"/>
      <c r="N6" s="14"/>
      <c r="O6" s="14"/>
      <c r="P6" s="14"/>
    </row>
    <row r="7" spans="2:16" ht="16.5" thickTop="1" thickBot="1" x14ac:dyDescent="0.3">
      <c r="C7" s="20" t="s">
        <v>2</v>
      </c>
      <c r="D7" s="1"/>
      <c r="E7" s="39"/>
    </row>
    <row r="8" spans="2:16" ht="16.5" thickTop="1" thickBot="1" x14ac:dyDescent="0.3">
      <c r="C8" t="s">
        <v>140</v>
      </c>
      <c r="D8" s="1" t="s">
        <v>8</v>
      </c>
      <c r="E8" s="38">
        <v>0.5</v>
      </c>
      <c r="F8" t="s">
        <v>1</v>
      </c>
    </row>
    <row r="9" spans="2:16" ht="19.5" thickTop="1" thickBot="1" x14ac:dyDescent="0.3">
      <c r="C9" t="s">
        <v>141</v>
      </c>
      <c r="D9" s="1" t="s">
        <v>143</v>
      </c>
      <c r="E9" s="63">
        <v>0.6</v>
      </c>
      <c r="F9" t="s">
        <v>1</v>
      </c>
    </row>
    <row r="10" spans="2:16" ht="16.5" thickTop="1" thickBot="1" x14ac:dyDescent="0.3">
      <c r="C10" t="s">
        <v>179</v>
      </c>
      <c r="D10" s="12" t="s">
        <v>148</v>
      </c>
      <c r="E10" s="38">
        <v>2.2999999999999998</v>
      </c>
      <c r="F10" s="14" t="s">
        <v>1</v>
      </c>
    </row>
    <row r="11" spans="2:16" ht="16.5" thickTop="1" thickBot="1" x14ac:dyDescent="0.3">
      <c r="C11" t="s">
        <v>175</v>
      </c>
      <c r="D11" s="1" t="s">
        <v>13</v>
      </c>
      <c r="E11" s="64">
        <v>1</v>
      </c>
      <c r="F11" t="s">
        <v>1</v>
      </c>
    </row>
    <row r="12" spans="2:16" ht="16.5" thickTop="1" thickBot="1" x14ac:dyDescent="0.3">
      <c r="C12" t="s">
        <v>176</v>
      </c>
      <c r="D12" s="12" t="s">
        <v>147</v>
      </c>
      <c r="E12" s="38">
        <v>0</v>
      </c>
      <c r="F12" s="14" t="s">
        <v>1</v>
      </c>
    </row>
    <row r="13" spans="2:16" ht="16.5" thickTop="1" thickBot="1" x14ac:dyDescent="0.3">
      <c r="C13" t="s">
        <v>39</v>
      </c>
      <c r="D13" s="1" t="s">
        <v>40</v>
      </c>
      <c r="E13" s="38">
        <v>10000000000</v>
      </c>
      <c r="F13" t="s">
        <v>1</v>
      </c>
    </row>
    <row r="14" spans="2:16" ht="19.5" thickTop="1" thickBot="1" x14ac:dyDescent="0.3">
      <c r="C14" t="s">
        <v>14</v>
      </c>
      <c r="D14" s="4" t="s">
        <v>15</v>
      </c>
      <c r="E14" s="38">
        <v>25</v>
      </c>
      <c r="F14" t="s">
        <v>132</v>
      </c>
    </row>
    <row r="15" spans="2:16" ht="18.75" customHeight="1" thickTop="1" thickBot="1" x14ac:dyDescent="0.3">
      <c r="C15" t="s">
        <v>133</v>
      </c>
      <c r="D15" s="4" t="s">
        <v>16</v>
      </c>
      <c r="E15" s="38">
        <v>21</v>
      </c>
      <c r="F15" t="s">
        <v>132</v>
      </c>
    </row>
    <row r="16" spans="2:16" ht="19.5" thickTop="1" thickBot="1" x14ac:dyDescent="0.3">
      <c r="C16" t="s">
        <v>177</v>
      </c>
      <c r="D16" s="4" t="s">
        <v>178</v>
      </c>
      <c r="E16" s="38">
        <v>20</v>
      </c>
      <c r="F16" t="s">
        <v>132</v>
      </c>
    </row>
    <row r="17" spans="2:16" ht="15.75" thickTop="1" x14ac:dyDescent="0.25">
      <c r="C17" t="s">
        <v>96</v>
      </c>
      <c r="D17" s="1" t="s">
        <v>97</v>
      </c>
      <c r="E17" s="62">
        <f>E11+E12</f>
        <v>1</v>
      </c>
      <c r="F17" t="s">
        <v>1</v>
      </c>
    </row>
    <row r="18" spans="2:16" x14ac:dyDescent="0.25">
      <c r="F18" s="1"/>
    </row>
    <row r="19" spans="2:16" ht="15.75" x14ac:dyDescent="0.25">
      <c r="B19" s="82" t="s">
        <v>146</v>
      </c>
      <c r="C19" s="82"/>
      <c r="D19" s="82"/>
      <c r="E19" s="82"/>
      <c r="F19" s="82"/>
      <c r="G19" s="82"/>
    </row>
    <row r="20" spans="2:16" x14ac:dyDescent="0.25">
      <c r="F20" s="1"/>
    </row>
    <row r="21" spans="2:16" x14ac:dyDescent="0.25">
      <c r="C21" s="8" t="s">
        <v>150</v>
      </c>
      <c r="D21" s="65">
        <f>6.4+(E17/4)*2</f>
        <v>6.9</v>
      </c>
      <c r="E21" s="8" t="s">
        <v>1</v>
      </c>
      <c r="F21" s="1"/>
    </row>
    <row r="22" spans="2:16" x14ac:dyDescent="0.25">
      <c r="F22" s="1"/>
    </row>
    <row r="23" spans="2:16" x14ac:dyDescent="0.25">
      <c r="F23" s="1"/>
      <c r="K23" s="61"/>
      <c r="L23" s="54"/>
      <c r="M23" s="14"/>
      <c r="N23" s="14"/>
      <c r="O23" s="14"/>
      <c r="P23" s="14"/>
    </row>
    <row r="24" spans="2:16" x14ac:dyDescent="0.25">
      <c r="F24" s="1"/>
      <c r="K24" s="61"/>
      <c r="L24" s="54"/>
      <c r="M24" s="14"/>
      <c r="N24" s="14"/>
      <c r="O24" s="14"/>
      <c r="P24" s="14"/>
    </row>
    <row r="25" spans="2:16" x14ac:dyDescent="0.25">
      <c r="F25" s="1"/>
    </row>
    <row r="26" spans="2:16" x14ac:dyDescent="0.25">
      <c r="F26" s="1"/>
    </row>
    <row r="27" spans="2:16" x14ac:dyDescent="0.25">
      <c r="F27" s="1"/>
    </row>
    <row r="28" spans="2:16" x14ac:dyDescent="0.25">
      <c r="F28" s="1"/>
    </row>
    <row r="34" spans="2:16" x14ac:dyDescent="0.25">
      <c r="C34" s="8" t="s">
        <v>149</v>
      </c>
      <c r="D34" s="65">
        <f>+E10+2*(E11*0.25+E12*2/3)</f>
        <v>2.8</v>
      </c>
      <c r="E34" s="8" t="s">
        <v>1</v>
      </c>
      <c r="F34" s="1"/>
    </row>
    <row r="35" spans="2:16" x14ac:dyDescent="0.25">
      <c r="F35" s="1"/>
    </row>
    <row r="36" spans="2:16" x14ac:dyDescent="0.25">
      <c r="F36" s="1"/>
      <c r="K36" s="61"/>
      <c r="L36" s="54"/>
      <c r="M36" s="14"/>
      <c r="N36" s="14"/>
      <c r="O36" s="14"/>
      <c r="P36" s="14"/>
    </row>
    <row r="37" spans="2:16" x14ac:dyDescent="0.25">
      <c r="F37" s="1"/>
      <c r="K37" s="61"/>
      <c r="L37" s="54"/>
      <c r="M37" s="14"/>
      <c r="N37" s="14"/>
      <c r="O37" s="14"/>
      <c r="P37" s="14"/>
    </row>
    <row r="38" spans="2:16" x14ac:dyDescent="0.25">
      <c r="F38" s="1"/>
      <c r="K38" s="61"/>
      <c r="L38" s="54"/>
      <c r="M38" s="14"/>
      <c r="N38" s="14"/>
      <c r="O38" s="14"/>
      <c r="P38" s="14"/>
    </row>
    <row r="39" spans="2:16" x14ac:dyDescent="0.25">
      <c r="F39" s="1"/>
      <c r="K39" s="61"/>
      <c r="L39" s="54"/>
      <c r="M39" s="14"/>
      <c r="N39" s="14"/>
      <c r="O39" s="14"/>
      <c r="P39" s="14"/>
    </row>
    <row r="40" spans="2:16" x14ac:dyDescent="0.25">
      <c r="F40" s="1"/>
      <c r="K40" s="61"/>
      <c r="L40" s="54"/>
      <c r="M40" s="14"/>
      <c r="N40" s="14"/>
      <c r="O40" s="14"/>
      <c r="P40" s="14"/>
    </row>
    <row r="41" spans="2:16" x14ac:dyDescent="0.25">
      <c r="F41" s="1"/>
      <c r="K41" s="61"/>
      <c r="L41" s="54"/>
      <c r="M41" s="14"/>
      <c r="N41" s="14"/>
      <c r="O41" s="14"/>
      <c r="P41" s="14"/>
    </row>
    <row r="42" spans="2:16" x14ac:dyDescent="0.25">
      <c r="K42" s="61"/>
      <c r="L42" s="54"/>
      <c r="M42" s="14"/>
      <c r="N42" s="14"/>
      <c r="O42" s="14"/>
      <c r="P42" s="14"/>
    </row>
    <row r="43" spans="2:16" x14ac:dyDescent="0.25">
      <c r="K43" s="61"/>
      <c r="L43" s="54"/>
      <c r="M43" s="14"/>
      <c r="N43" s="14"/>
      <c r="O43" s="14"/>
      <c r="P43" s="14"/>
    </row>
    <row r="45" spans="2:16" x14ac:dyDescent="0.25">
      <c r="F45" s="1"/>
    </row>
    <row r="46" spans="2:16" x14ac:dyDescent="0.25">
      <c r="F46" s="1"/>
    </row>
    <row r="47" spans="2:16" x14ac:dyDescent="0.25">
      <c r="F47" s="1"/>
    </row>
    <row r="48" spans="2:16" ht="15.75" x14ac:dyDescent="0.25">
      <c r="B48" s="80" t="s">
        <v>28</v>
      </c>
      <c r="C48" s="80"/>
      <c r="D48" s="80"/>
      <c r="E48" s="80"/>
      <c r="F48" s="80"/>
      <c r="G48" s="80"/>
    </row>
    <row r="49" spans="1:7" ht="15.75" x14ac:dyDescent="0.25">
      <c r="B49" s="33"/>
      <c r="C49" s="33"/>
      <c r="D49" s="33"/>
      <c r="E49" s="33"/>
      <c r="F49" s="33"/>
      <c r="G49" s="33"/>
    </row>
    <row r="50" spans="1:7" ht="15.75" x14ac:dyDescent="0.25">
      <c r="B50" s="33"/>
      <c r="C50" s="33"/>
      <c r="D50" s="33"/>
      <c r="E50" s="33"/>
      <c r="F50" s="33"/>
      <c r="G50" s="33"/>
    </row>
    <row r="51" spans="1:7" ht="17.25" x14ac:dyDescent="0.25">
      <c r="A51">
        <v>1</v>
      </c>
      <c r="B51" s="32" t="s">
        <v>6</v>
      </c>
      <c r="C51" s="15" t="s">
        <v>128</v>
      </c>
      <c r="D51" s="5" t="s">
        <v>6</v>
      </c>
      <c r="E51" s="23">
        <f>E8*E14</f>
        <v>12.5</v>
      </c>
      <c r="F51" s="5" t="s">
        <v>131</v>
      </c>
      <c r="G51" s="33"/>
    </row>
    <row r="52" spans="1:7" ht="15.75" x14ac:dyDescent="0.25">
      <c r="B52" s="17"/>
      <c r="C52" t="s">
        <v>9</v>
      </c>
      <c r="D52" s="5"/>
      <c r="E52" s="9"/>
      <c r="G52" s="33"/>
    </row>
    <row r="53" spans="1:7" ht="15.75" x14ac:dyDescent="0.25">
      <c r="E53" s="45"/>
      <c r="G53" s="33"/>
    </row>
    <row r="54" spans="1:7" ht="17.25" x14ac:dyDescent="0.25">
      <c r="A54">
        <v>2</v>
      </c>
      <c r="B54" s="32" t="s">
        <v>12</v>
      </c>
      <c r="C54" s="16" t="s">
        <v>180</v>
      </c>
      <c r="D54" s="5" t="s">
        <v>12</v>
      </c>
      <c r="E54" s="23">
        <f>E11*E15</f>
        <v>21</v>
      </c>
      <c r="F54" s="5" t="s">
        <v>131</v>
      </c>
      <c r="G54" s="33"/>
    </row>
    <row r="55" spans="1:7" ht="15.75" x14ac:dyDescent="0.25">
      <c r="B55" s="33"/>
      <c r="C55" s="33"/>
      <c r="D55" s="33"/>
      <c r="E55" s="33"/>
      <c r="F55" s="33"/>
      <c r="G55" s="33"/>
    </row>
    <row r="56" spans="1:7" ht="17.25" x14ac:dyDescent="0.25">
      <c r="A56">
        <v>3</v>
      </c>
      <c r="B56" s="32" t="s">
        <v>12</v>
      </c>
      <c r="C56" s="16" t="s">
        <v>181</v>
      </c>
      <c r="D56" s="5" t="s">
        <v>12</v>
      </c>
      <c r="E56" s="23">
        <f>E12*E16</f>
        <v>0</v>
      </c>
      <c r="F56" s="5" t="s">
        <v>131</v>
      </c>
      <c r="G56" s="33"/>
    </row>
    <row r="57" spans="1:7" ht="15.75" x14ac:dyDescent="0.25">
      <c r="B57" s="33"/>
      <c r="C57" s="33"/>
      <c r="D57" s="33"/>
      <c r="E57" s="33"/>
      <c r="F57" s="33"/>
      <c r="G57" s="33"/>
    </row>
    <row r="58" spans="1:7" ht="15.75" x14ac:dyDescent="0.25">
      <c r="A58">
        <v>4</v>
      </c>
      <c r="B58" s="32" t="s">
        <v>182</v>
      </c>
      <c r="C58" s="15" t="s">
        <v>17</v>
      </c>
      <c r="F58" s="1"/>
    </row>
    <row r="59" spans="1:7" x14ac:dyDescent="0.25">
      <c r="F59" s="1"/>
    </row>
    <row r="60" spans="1:7" x14ac:dyDescent="0.25">
      <c r="F60" s="1"/>
    </row>
    <row r="61" spans="1:7" x14ac:dyDescent="0.25">
      <c r="F61" s="1"/>
    </row>
    <row r="62" spans="1:7" x14ac:dyDescent="0.25">
      <c r="F62" s="1"/>
    </row>
    <row r="63" spans="1:7" x14ac:dyDescent="0.25">
      <c r="F63" s="1"/>
    </row>
    <row r="64" spans="1:7" x14ac:dyDescent="0.25">
      <c r="F64" s="1"/>
    </row>
    <row r="65" spans="2:7" x14ac:dyDescent="0.25">
      <c r="F65" s="1"/>
    </row>
    <row r="66" spans="2:7" x14ac:dyDescent="0.25">
      <c r="F66" s="1"/>
    </row>
    <row r="67" spans="2:7" x14ac:dyDescent="0.25">
      <c r="F67" s="1"/>
    </row>
    <row r="68" spans="2:7" x14ac:dyDescent="0.25">
      <c r="F68" s="1"/>
    </row>
    <row r="69" spans="2:7" x14ac:dyDescent="0.25">
      <c r="B69" s="50" t="s">
        <v>151</v>
      </c>
      <c r="C69" s="51"/>
      <c r="D69" s="51"/>
      <c r="E69" s="51"/>
      <c r="F69" s="51"/>
      <c r="G69" s="52"/>
    </row>
    <row r="70" spans="2:7" ht="18" x14ac:dyDescent="0.35">
      <c r="B70" s="53" t="s">
        <v>152</v>
      </c>
      <c r="C70" s="54">
        <v>1000</v>
      </c>
      <c r="D70" s="14" t="s">
        <v>19</v>
      </c>
      <c r="E70" s="14" t="s">
        <v>153</v>
      </c>
      <c r="F70" s="14"/>
      <c r="G70" s="55"/>
    </row>
    <row r="71" spans="2:7" x14ac:dyDescent="0.25">
      <c r="B71" s="53" t="s">
        <v>5</v>
      </c>
      <c r="C71" s="54">
        <f>D34</f>
        <v>2.8</v>
      </c>
      <c r="D71" s="14" t="s">
        <v>1</v>
      </c>
      <c r="E71" s="14" t="s">
        <v>154</v>
      </c>
      <c r="F71" s="14"/>
      <c r="G71" s="55"/>
    </row>
    <row r="72" spans="2:7" x14ac:dyDescent="0.25">
      <c r="B72" s="53" t="s">
        <v>4</v>
      </c>
      <c r="C72" s="54">
        <f>+D21</f>
        <v>6.9</v>
      </c>
      <c r="D72" s="14" t="s">
        <v>1</v>
      </c>
      <c r="E72" s="14" t="s">
        <v>155</v>
      </c>
      <c r="F72" s="14"/>
      <c r="G72" s="55"/>
    </row>
    <row r="73" spans="2:7" x14ac:dyDescent="0.25">
      <c r="B73" s="53" t="s">
        <v>156</v>
      </c>
      <c r="C73" s="54">
        <v>0.08</v>
      </c>
      <c r="D73" s="14" t="s">
        <v>1</v>
      </c>
      <c r="E73" s="14" t="s">
        <v>157</v>
      </c>
      <c r="F73" s="14"/>
      <c r="G73" s="55"/>
    </row>
    <row r="74" spans="2:7" ht="18" x14ac:dyDescent="0.35">
      <c r="B74" s="53" t="s">
        <v>158</v>
      </c>
      <c r="C74" s="54">
        <v>0</v>
      </c>
      <c r="D74" s="14" t="s">
        <v>1</v>
      </c>
      <c r="E74" s="14" t="s">
        <v>159</v>
      </c>
      <c r="F74" s="14"/>
      <c r="G74" s="55"/>
    </row>
    <row r="75" spans="2:7" ht="18" x14ac:dyDescent="0.35">
      <c r="B75" s="53" t="s">
        <v>160</v>
      </c>
      <c r="C75" s="54">
        <f>+C73+C74</f>
        <v>0.08</v>
      </c>
      <c r="D75" s="14" t="s">
        <v>1</v>
      </c>
      <c r="E75" s="14" t="s">
        <v>161</v>
      </c>
      <c r="F75" s="14"/>
      <c r="G75" s="55"/>
    </row>
    <row r="76" spans="2:7" ht="18" x14ac:dyDescent="0.35">
      <c r="B76" s="53" t="s">
        <v>162</v>
      </c>
      <c r="C76" s="54">
        <f>+C70*C75</f>
        <v>80</v>
      </c>
      <c r="D76" s="14" t="s">
        <v>20</v>
      </c>
      <c r="E76" s="14" t="s">
        <v>163</v>
      </c>
      <c r="F76" s="14"/>
      <c r="G76" s="55"/>
    </row>
    <row r="77" spans="2:7" x14ac:dyDescent="0.25">
      <c r="B77" s="53" t="s">
        <v>24</v>
      </c>
      <c r="C77" s="54">
        <v>1.1000000000000001</v>
      </c>
      <c r="D77" s="13" t="s">
        <v>18</v>
      </c>
      <c r="E77" s="13" t="s">
        <v>164</v>
      </c>
      <c r="F77" s="14"/>
      <c r="G77" s="55"/>
    </row>
    <row r="78" spans="2:7" ht="19.5" x14ac:dyDescent="0.4">
      <c r="B78" s="56" t="s">
        <v>165</v>
      </c>
      <c r="C78" s="54">
        <f>(+C70/(C71*C72)-C76*6/(C72*C71^2))*C77</f>
        <v>47.175391895888794</v>
      </c>
      <c r="D78" s="14" t="s">
        <v>130</v>
      </c>
      <c r="E78" s="14" t="s">
        <v>166</v>
      </c>
      <c r="F78" s="14"/>
      <c r="G78" s="55"/>
    </row>
    <row r="79" spans="2:7" ht="19.5" x14ac:dyDescent="0.4">
      <c r="B79" s="57" t="s">
        <v>167</v>
      </c>
      <c r="C79" s="58">
        <f>(+C70/(C71*C72)+C76*6/(C72*C71^2))*C77</f>
        <v>66.696243714877269</v>
      </c>
      <c r="D79" s="59" t="s">
        <v>130</v>
      </c>
      <c r="E79" s="59" t="s">
        <v>168</v>
      </c>
      <c r="F79" s="59"/>
      <c r="G79" s="60"/>
    </row>
    <row r="80" spans="2:7" x14ac:dyDescent="0.25">
      <c r="F80" s="1"/>
    </row>
    <row r="81" spans="2:7" x14ac:dyDescent="0.25">
      <c r="B81" s="50" t="s">
        <v>169</v>
      </c>
      <c r="C81" s="51"/>
      <c r="D81" s="51"/>
      <c r="E81" s="51"/>
      <c r="F81" s="51"/>
      <c r="G81" s="52"/>
    </row>
    <row r="82" spans="2:7" ht="18" x14ac:dyDescent="0.35">
      <c r="B82" s="53" t="s">
        <v>152</v>
      </c>
      <c r="C82" s="54">
        <v>80</v>
      </c>
      <c r="D82" s="14" t="s">
        <v>21</v>
      </c>
      <c r="E82" s="14" t="s">
        <v>153</v>
      </c>
      <c r="F82" s="14"/>
      <c r="G82" s="55"/>
    </row>
    <row r="83" spans="2:7" x14ac:dyDescent="0.25">
      <c r="B83" s="53" t="s">
        <v>5</v>
      </c>
      <c r="C83" s="54">
        <f>D34</f>
        <v>2.8</v>
      </c>
      <c r="D83" s="14" t="s">
        <v>1</v>
      </c>
      <c r="E83" s="14" t="s">
        <v>154</v>
      </c>
      <c r="F83" s="14"/>
      <c r="G83" s="55"/>
    </row>
    <row r="84" spans="2:7" x14ac:dyDescent="0.25">
      <c r="B84" s="53" t="s">
        <v>4</v>
      </c>
      <c r="C84" s="54">
        <v>1</v>
      </c>
      <c r="D84" s="14" t="s">
        <v>1</v>
      </c>
      <c r="E84" s="14" t="s">
        <v>155</v>
      </c>
      <c r="F84" s="14"/>
      <c r="G84" s="55"/>
    </row>
    <row r="85" spans="2:7" x14ac:dyDescent="0.25">
      <c r="B85" s="53" t="s">
        <v>156</v>
      </c>
      <c r="C85" s="54">
        <v>0.08</v>
      </c>
      <c r="D85" s="14" t="s">
        <v>1</v>
      </c>
      <c r="E85" s="14" t="s">
        <v>157</v>
      </c>
      <c r="F85" s="14"/>
      <c r="G85" s="55"/>
    </row>
    <row r="86" spans="2:7" ht="18" x14ac:dyDescent="0.35">
      <c r="B86" s="53" t="s">
        <v>158</v>
      </c>
      <c r="C86" s="54">
        <v>0</v>
      </c>
      <c r="D86" s="14" t="s">
        <v>1</v>
      </c>
      <c r="E86" s="14" t="s">
        <v>159</v>
      </c>
      <c r="F86" s="14"/>
      <c r="G86" s="55"/>
    </row>
    <row r="87" spans="2:7" ht="18" x14ac:dyDescent="0.35">
      <c r="B87" s="53" t="s">
        <v>160</v>
      </c>
      <c r="C87" s="54">
        <f>+C85+C86</f>
        <v>0.08</v>
      </c>
      <c r="D87" s="14" t="s">
        <v>1</v>
      </c>
      <c r="E87" s="14" t="s">
        <v>161</v>
      </c>
      <c r="F87" s="14"/>
      <c r="G87" s="55"/>
    </row>
    <row r="88" spans="2:7" ht="18" x14ac:dyDescent="0.35">
      <c r="B88" s="53" t="s">
        <v>162</v>
      </c>
      <c r="C88" s="54">
        <f>+C82*C87</f>
        <v>6.4</v>
      </c>
      <c r="D88" s="14" t="s">
        <v>20</v>
      </c>
      <c r="E88" s="14" t="s">
        <v>163</v>
      </c>
      <c r="F88" s="14"/>
      <c r="G88" s="55"/>
    </row>
    <row r="89" spans="2:7" x14ac:dyDescent="0.25">
      <c r="B89" s="53" t="s">
        <v>24</v>
      </c>
      <c r="C89" s="54">
        <v>1.1000000000000001</v>
      </c>
      <c r="D89" s="13" t="s">
        <v>18</v>
      </c>
      <c r="E89" s="13" t="s">
        <v>164</v>
      </c>
      <c r="F89" s="14"/>
      <c r="G89" s="55"/>
    </row>
    <row r="90" spans="2:7" ht="19.5" x14ac:dyDescent="0.4">
      <c r="B90" s="56" t="s">
        <v>170</v>
      </c>
      <c r="C90" s="54">
        <f>(+C82/(C83)-C88*6/(C83^2))*C89</f>
        <v>26.040816326530614</v>
      </c>
      <c r="D90" s="14" t="s">
        <v>130</v>
      </c>
      <c r="E90" s="14" t="s">
        <v>166</v>
      </c>
      <c r="F90" s="14"/>
      <c r="G90" s="55"/>
    </row>
    <row r="91" spans="2:7" ht="19.5" x14ac:dyDescent="0.4">
      <c r="B91" s="57" t="s">
        <v>171</v>
      </c>
      <c r="C91" s="58">
        <f>(+C82/(C83)+C88*6/(C83^2))*C89</f>
        <v>36.816326530612251</v>
      </c>
      <c r="D91" s="59" t="s">
        <v>130</v>
      </c>
      <c r="E91" s="59" t="s">
        <v>168</v>
      </c>
      <c r="F91" s="59"/>
      <c r="G91" s="60"/>
    </row>
    <row r="92" spans="2:7" ht="14.25" customHeight="1" x14ac:dyDescent="0.25">
      <c r="F92" s="1"/>
    </row>
    <row r="93" spans="2:7" ht="14.25" customHeight="1" x14ac:dyDescent="0.25">
      <c r="F93" s="1"/>
    </row>
    <row r="94" spans="2:7" ht="14.25" customHeight="1" x14ac:dyDescent="0.25">
      <c r="B94" s="32"/>
      <c r="C94" s="15" t="s">
        <v>22</v>
      </c>
      <c r="F94" s="1"/>
    </row>
    <row r="95" spans="2:7" ht="14.25" customHeight="1" x14ac:dyDescent="0.25">
      <c r="F95" s="1"/>
    </row>
    <row r="96" spans="2:7" ht="14.25" customHeight="1" x14ac:dyDescent="0.25">
      <c r="F96" s="1"/>
    </row>
    <row r="97" spans="2:7" ht="14.25" customHeight="1" x14ac:dyDescent="0.25">
      <c r="F97" s="1"/>
    </row>
    <row r="98" spans="2:7" ht="14.25" customHeight="1" x14ac:dyDescent="0.25">
      <c r="F98" s="1"/>
    </row>
    <row r="99" spans="2:7" ht="14.25" customHeight="1" x14ac:dyDescent="0.25">
      <c r="F99" s="1"/>
    </row>
    <row r="100" spans="2:7" ht="14.25" customHeight="1" x14ac:dyDescent="0.25">
      <c r="F100" s="1"/>
    </row>
    <row r="101" spans="2:7" ht="14.25" customHeight="1" x14ac:dyDescent="0.25">
      <c r="F101" s="1"/>
    </row>
    <row r="102" spans="2:7" ht="14.25" customHeight="1" x14ac:dyDescent="0.25">
      <c r="F102" s="1"/>
    </row>
    <row r="103" spans="2:7" ht="14.25" customHeight="1" x14ac:dyDescent="0.25">
      <c r="B103" s="50" t="s">
        <v>172</v>
      </c>
      <c r="C103" s="51"/>
      <c r="D103" s="51"/>
      <c r="E103" s="51"/>
      <c r="F103" s="51"/>
      <c r="G103" s="52"/>
    </row>
    <row r="104" spans="2:7" ht="14.25" customHeight="1" x14ac:dyDescent="0.35">
      <c r="B104" s="53" t="s">
        <v>152</v>
      </c>
      <c r="C104" s="54">
        <v>150</v>
      </c>
      <c r="D104" s="14" t="s">
        <v>21</v>
      </c>
      <c r="E104" s="14" t="s">
        <v>153</v>
      </c>
      <c r="F104" s="14"/>
      <c r="G104" s="55"/>
    </row>
    <row r="105" spans="2:7" ht="14.25" customHeight="1" x14ac:dyDescent="0.25">
      <c r="B105" s="53" t="s">
        <v>5</v>
      </c>
      <c r="C105" s="54">
        <f>D34</f>
        <v>2.8</v>
      </c>
      <c r="D105" s="14" t="s">
        <v>1</v>
      </c>
      <c r="E105" s="14" t="s">
        <v>154</v>
      </c>
      <c r="F105" s="14"/>
      <c r="G105" s="55"/>
    </row>
    <row r="106" spans="2:7" ht="14.25" customHeight="1" x14ac:dyDescent="0.25">
      <c r="B106" s="53" t="s">
        <v>4</v>
      </c>
      <c r="C106" s="54">
        <v>1</v>
      </c>
      <c r="D106" s="14" t="s">
        <v>1</v>
      </c>
      <c r="E106" s="14" t="s">
        <v>155</v>
      </c>
      <c r="F106" s="14"/>
      <c r="G106" s="55"/>
    </row>
    <row r="107" spans="2:7" ht="14.25" customHeight="1" x14ac:dyDescent="0.25">
      <c r="B107" s="53" t="s">
        <v>156</v>
      </c>
      <c r="C107" s="54">
        <v>0</v>
      </c>
      <c r="D107" s="14" t="s">
        <v>1</v>
      </c>
      <c r="E107" s="14" t="s">
        <v>157</v>
      </c>
      <c r="F107" s="14"/>
      <c r="G107" s="55"/>
    </row>
    <row r="108" spans="2:7" ht="14.25" customHeight="1" x14ac:dyDescent="0.35">
      <c r="B108" s="53" t="s">
        <v>158</v>
      </c>
      <c r="C108" s="54">
        <v>0</v>
      </c>
      <c r="D108" s="14" t="s">
        <v>1</v>
      </c>
      <c r="E108" s="14" t="s">
        <v>159</v>
      </c>
      <c r="F108" s="14"/>
      <c r="G108" s="55"/>
    </row>
    <row r="109" spans="2:7" ht="18" x14ac:dyDescent="0.35">
      <c r="B109" s="53" t="s">
        <v>160</v>
      </c>
      <c r="C109" s="54">
        <f>+C107+C108</f>
        <v>0</v>
      </c>
      <c r="D109" s="14" t="s">
        <v>1</v>
      </c>
      <c r="E109" s="14" t="s">
        <v>161</v>
      </c>
      <c r="F109" s="14"/>
      <c r="G109" s="55"/>
    </row>
    <row r="110" spans="2:7" ht="18" x14ac:dyDescent="0.35">
      <c r="B110" s="53" t="s">
        <v>162</v>
      </c>
      <c r="C110" s="54">
        <f>+C104*C109</f>
        <v>0</v>
      </c>
      <c r="D110" s="14" t="s">
        <v>20</v>
      </c>
      <c r="E110" s="14" t="s">
        <v>163</v>
      </c>
      <c r="F110" s="14"/>
      <c r="G110" s="55"/>
    </row>
    <row r="111" spans="2:7" ht="19.5" x14ac:dyDescent="0.4">
      <c r="B111" s="56" t="s">
        <v>173</v>
      </c>
      <c r="C111" s="54">
        <f>+C104/(C105)-C110*6/(C105^2)</f>
        <v>53.571428571428577</v>
      </c>
      <c r="D111" s="14" t="s">
        <v>130</v>
      </c>
      <c r="E111" s="14" t="s">
        <v>166</v>
      </c>
      <c r="F111" s="14"/>
      <c r="G111" s="55"/>
    </row>
    <row r="112" spans="2:7" ht="19.5" x14ac:dyDescent="0.4">
      <c r="B112" s="57" t="s">
        <v>174</v>
      </c>
      <c r="C112" s="58">
        <f>+C104/(C105)+C110*6/(C105^2)</f>
        <v>53.571428571428577</v>
      </c>
      <c r="D112" s="59" t="s">
        <v>130</v>
      </c>
      <c r="E112" s="59" t="s">
        <v>168</v>
      </c>
      <c r="F112" s="59"/>
      <c r="G112" s="60"/>
    </row>
    <row r="114" spans="2:6" ht="15.75" x14ac:dyDescent="0.25">
      <c r="B114" s="32"/>
      <c r="C114" s="15" t="s">
        <v>194</v>
      </c>
    </row>
    <row r="117" spans="2:6" ht="18" x14ac:dyDescent="0.25">
      <c r="C117" s="2" t="s">
        <v>195</v>
      </c>
      <c r="D117" s="5" t="s">
        <v>88</v>
      </c>
      <c r="E117" s="23">
        <v>20</v>
      </c>
      <c r="F117" s="5" t="s">
        <v>131</v>
      </c>
    </row>
    <row r="119" spans="2:6" ht="15.75" x14ac:dyDescent="0.25">
      <c r="B119" s="32"/>
      <c r="C119" s="15" t="s">
        <v>31</v>
      </c>
    </row>
    <row r="120" spans="2:6" ht="80.25" customHeight="1" x14ac:dyDescent="0.25">
      <c r="C120" s="19" t="s">
        <v>30</v>
      </c>
    </row>
    <row r="121" spans="2:6" ht="33" customHeight="1" x14ac:dyDescent="0.25">
      <c r="C121" s="19" t="s">
        <v>32</v>
      </c>
    </row>
    <row r="122" spans="2:6" x14ac:dyDescent="0.25">
      <c r="C122" t="s">
        <v>33</v>
      </c>
    </row>
    <row r="127" spans="2:6" ht="34.15" customHeight="1" x14ac:dyDescent="0.25">
      <c r="C127" s="19" t="s">
        <v>34</v>
      </c>
    </row>
    <row r="128" spans="2:6" x14ac:dyDescent="0.25">
      <c r="C128" t="s">
        <v>142</v>
      </c>
    </row>
    <row r="129" spans="2:6" x14ac:dyDescent="0.25">
      <c r="C129" t="s">
        <v>37</v>
      </c>
    </row>
    <row r="131" spans="2:6" x14ac:dyDescent="0.25">
      <c r="C131" s="2" t="s">
        <v>35</v>
      </c>
      <c r="D131" s="44" t="s">
        <v>36</v>
      </c>
      <c r="E131" s="24">
        <f>IF((2.16/((3*E4)^0.5-0.2)+0.73)&gt;2,2,2.16/((3*E4)^0.5-0.2)+0.73)</f>
        <v>1.2788900112165571</v>
      </c>
    </row>
    <row r="133" spans="2:6" ht="15.75" x14ac:dyDescent="0.25">
      <c r="B133" s="32"/>
      <c r="C133" s="15" t="s">
        <v>86</v>
      </c>
    </row>
    <row r="134" spans="2:6" ht="18" x14ac:dyDescent="0.25">
      <c r="C134" s="2" t="s">
        <v>183</v>
      </c>
      <c r="D134" s="5" t="s">
        <v>55</v>
      </c>
      <c r="E134" s="23">
        <f>E131*MAXA(C78,C79)</f>
        <v>85.29715987262162</v>
      </c>
      <c r="F134" s="5" t="s">
        <v>7</v>
      </c>
    </row>
    <row r="135" spans="2:6" ht="18" x14ac:dyDescent="0.25">
      <c r="C135" s="2" t="s">
        <v>56</v>
      </c>
      <c r="D135" s="5" t="s">
        <v>55</v>
      </c>
      <c r="E135" s="23">
        <f>E131*MAXA(C90,C91)</f>
        <v>47.084032249687134</v>
      </c>
      <c r="F135" s="5" t="s">
        <v>7</v>
      </c>
    </row>
    <row r="136" spans="2:6" ht="18" x14ac:dyDescent="0.25">
      <c r="C136" s="2" t="s">
        <v>57</v>
      </c>
      <c r="D136" s="5" t="s">
        <v>54</v>
      </c>
      <c r="E136" s="23">
        <f>E131*MAXA(C111,C112)</f>
        <v>68.511964886601277</v>
      </c>
      <c r="F136" s="5" t="s">
        <v>7</v>
      </c>
    </row>
    <row r="137" spans="2:6" x14ac:dyDescent="0.25">
      <c r="C137" s="2"/>
      <c r="D137" s="5"/>
      <c r="E137" s="23"/>
      <c r="F137" s="5"/>
    </row>
    <row r="138" spans="2:6" ht="15.75" x14ac:dyDescent="0.25">
      <c r="B138" s="32"/>
      <c r="C138" s="15" t="s">
        <v>58</v>
      </c>
    </row>
    <row r="139" spans="2:6" x14ac:dyDescent="0.25">
      <c r="C139" t="s">
        <v>59</v>
      </c>
    </row>
    <row r="161" spans="2:7" x14ac:dyDescent="0.25">
      <c r="C161" t="s">
        <v>120</v>
      </c>
      <c r="D161" s="1" t="s">
        <v>121</v>
      </c>
      <c r="E161" s="9">
        <f>(E4-E9)*3</f>
        <v>15.3</v>
      </c>
      <c r="F161" s="1" t="s">
        <v>1</v>
      </c>
    </row>
    <row r="162" spans="2:7" ht="30" x14ac:dyDescent="0.25">
      <c r="C162" s="25" t="s">
        <v>61</v>
      </c>
      <c r="D162" s="1" t="s">
        <v>62</v>
      </c>
      <c r="E162" s="6">
        <f>(E51+E54)*Foglio2!M32</f>
        <v>93.8</v>
      </c>
      <c r="F162" s="1" t="s">
        <v>21</v>
      </c>
    </row>
    <row r="163" spans="2:7" x14ac:dyDescent="0.25">
      <c r="C163" t="s">
        <v>63</v>
      </c>
      <c r="D163" s="1" t="s">
        <v>64</v>
      </c>
      <c r="E163" s="27">
        <f>22000*((30+8)/10)^0.3</f>
        <v>32836.568031330789</v>
      </c>
      <c r="F163" s="1" t="s">
        <v>68</v>
      </c>
    </row>
    <row r="164" spans="2:7" ht="17.25" x14ac:dyDescent="0.25">
      <c r="C164" t="s">
        <v>65</v>
      </c>
      <c r="D164" s="1" t="s">
        <v>66</v>
      </c>
      <c r="E164" s="26">
        <f>(Foglio2!M32*1000*(E8*1000)^3)/12</f>
        <v>29166666666.666668</v>
      </c>
      <c r="F164" s="1" t="s">
        <v>67</v>
      </c>
    </row>
    <row r="165" spans="2:7" ht="15.75" thickBot="1" x14ac:dyDescent="0.3"/>
    <row r="166" spans="2:7" ht="31.5" thickTop="1" thickBot="1" x14ac:dyDescent="0.3">
      <c r="C166" s="19" t="s">
        <v>60</v>
      </c>
      <c r="D166" s="1" t="s">
        <v>51</v>
      </c>
      <c r="E166" s="38">
        <f>4.22-2.84</f>
        <v>1.38</v>
      </c>
      <c r="F166" s="1" t="s">
        <v>69</v>
      </c>
    </row>
    <row r="167" spans="2:7" ht="18.75" thickTop="1" x14ac:dyDescent="0.25">
      <c r="C167" s="19" t="s">
        <v>70</v>
      </c>
      <c r="D167" s="1" t="s">
        <v>134</v>
      </c>
      <c r="E167" s="9">
        <f>94.76*E161^(-0.748)</f>
        <v>12.316175302096889</v>
      </c>
      <c r="F167" s="1" t="s">
        <v>72</v>
      </c>
    </row>
    <row r="168" spans="2:7" ht="18" x14ac:dyDescent="0.25">
      <c r="C168" s="19" t="s">
        <v>71</v>
      </c>
      <c r="D168" s="1" t="s">
        <v>135</v>
      </c>
      <c r="E168" s="9">
        <f>IF(E161&lt;20,80/E161,23.58*E161^(-0.592))</f>
        <v>5.2287581699346406</v>
      </c>
      <c r="F168" s="1" t="s">
        <v>72</v>
      </c>
    </row>
    <row r="169" spans="2:7" ht="18" x14ac:dyDescent="0.25">
      <c r="C169" s="19" t="s">
        <v>144</v>
      </c>
      <c r="D169" s="1" t="s">
        <v>136</v>
      </c>
      <c r="E169" s="9">
        <f>(17.75/(E166)^0.5)</f>
        <v>15.109803420967786</v>
      </c>
      <c r="F169" s="1" t="s">
        <v>72</v>
      </c>
    </row>
    <row r="170" spans="2:7" x14ac:dyDescent="0.25">
      <c r="C170" s="19"/>
      <c r="D170" s="1"/>
      <c r="E170" s="9"/>
      <c r="F170" s="1"/>
    </row>
    <row r="171" spans="2:7" ht="15.75" x14ac:dyDescent="0.25">
      <c r="B171" s="80" t="s">
        <v>29</v>
      </c>
      <c r="C171" s="80"/>
      <c r="D171" s="80"/>
      <c r="E171" s="80"/>
      <c r="F171" s="80"/>
      <c r="G171" s="80"/>
    </row>
    <row r="172" spans="2:7" ht="6" customHeight="1" x14ac:dyDescent="0.25"/>
    <row r="173" spans="2:7" ht="15.75" x14ac:dyDescent="0.25">
      <c r="B173" s="32"/>
      <c r="C173" s="15" t="s">
        <v>27</v>
      </c>
    </row>
    <row r="174" spans="2:7" ht="90" x14ac:dyDescent="0.25">
      <c r="C174" s="19" t="s">
        <v>38</v>
      </c>
    </row>
    <row r="175" spans="2:7" ht="18" x14ac:dyDescent="0.25">
      <c r="C175" t="s">
        <v>45</v>
      </c>
      <c r="D175" s="5" t="s">
        <v>47</v>
      </c>
      <c r="E175" s="1">
        <v>120</v>
      </c>
      <c r="F175" s="1" t="s">
        <v>49</v>
      </c>
    </row>
    <row r="176" spans="2:7" ht="18" x14ac:dyDescent="0.25">
      <c r="C176" t="s">
        <v>46</v>
      </c>
      <c r="D176" s="5" t="s">
        <v>48</v>
      </c>
      <c r="E176" s="1">
        <v>100</v>
      </c>
      <c r="F176" s="1" t="s">
        <v>49</v>
      </c>
    </row>
    <row r="177" spans="2:6" ht="18" x14ac:dyDescent="0.25">
      <c r="C177" t="s">
        <v>50</v>
      </c>
      <c r="D177" s="5" t="s">
        <v>52</v>
      </c>
      <c r="E177" s="9">
        <f>IF((1-(E175-120)/1000*(814/E175+1.75)*(1-(2.88/E4)^0.5))&lt;1,1,1-(E175-120)/1000*(814/E175+1.75)*(1-(2.88/E4)^0.5))</f>
        <v>1</v>
      </c>
    </row>
    <row r="178" spans="2:6" ht="18" x14ac:dyDescent="0.25">
      <c r="C178" t="s">
        <v>50</v>
      </c>
      <c r="D178" s="5" t="s">
        <v>53</v>
      </c>
      <c r="E178" s="9">
        <f>IF((1-(E176-120)/1000*(814/E176+1.75)*(1-(2.88/E4)^0.5))&gt;1,1,(1-(E176-120)/1000*(814/E176+1.75)*(1-(2.88/E4)^0.5)))</f>
        <v>1</v>
      </c>
    </row>
    <row r="179" spans="2:6" x14ac:dyDescent="0.25">
      <c r="D179" s="1"/>
      <c r="E179" s="1"/>
    </row>
    <row r="180" spans="2:6" x14ac:dyDescent="0.25">
      <c r="D180" s="1"/>
      <c r="E180" s="1"/>
    </row>
    <row r="181" spans="2:6" x14ac:dyDescent="0.25">
      <c r="D181" s="1"/>
    </row>
    <row r="188" spans="2:6" ht="17.25" x14ac:dyDescent="0.25">
      <c r="C188" s="2" t="s">
        <v>185</v>
      </c>
      <c r="D188" s="5" t="s">
        <v>42</v>
      </c>
      <c r="E188" s="23">
        <f>IFERROR(((E175^2)/(127*E13))*(E177*E134),0)</f>
        <v>9.6714889934311129E-7</v>
      </c>
      <c r="F188" s="5" t="s">
        <v>131</v>
      </c>
    </row>
    <row r="189" spans="2:6" ht="17.25" x14ac:dyDescent="0.25">
      <c r="C189" s="2" t="s">
        <v>186</v>
      </c>
      <c r="D189" s="5" t="s">
        <v>42</v>
      </c>
      <c r="E189" s="23">
        <f>IFERROR(((E175^2)/(127*E13))*(E177*E135),0)</f>
        <v>5.3386619243739739E-7</v>
      </c>
      <c r="F189" s="5" t="s">
        <v>131</v>
      </c>
    </row>
    <row r="190" spans="2:6" ht="17.25" x14ac:dyDescent="0.25">
      <c r="C190" s="2" t="s">
        <v>44</v>
      </c>
      <c r="D190" s="5" t="s">
        <v>43</v>
      </c>
      <c r="E190" s="23">
        <f>IFERROR(((E176^2)/(127*E13))*(E178*E136),0)</f>
        <v>5.3946429044567934E-7</v>
      </c>
      <c r="F190" s="5" t="s">
        <v>131</v>
      </c>
    </row>
    <row r="192" spans="2:6" ht="15.75" x14ac:dyDescent="0.25">
      <c r="B192" s="34"/>
      <c r="C192" s="15" t="s">
        <v>74</v>
      </c>
    </row>
    <row r="193" spans="2:7" ht="135" x14ac:dyDescent="0.25">
      <c r="C193" s="19" t="s">
        <v>82</v>
      </c>
    </row>
    <row r="195" spans="2:7" ht="30" x14ac:dyDescent="0.25">
      <c r="C195" s="28" t="s">
        <v>94</v>
      </c>
      <c r="D195" s="5" t="s">
        <v>85</v>
      </c>
      <c r="E195" s="5">
        <f>100*1.1</f>
        <v>110.00000000000001</v>
      </c>
      <c r="F195" s="5" t="s">
        <v>19</v>
      </c>
    </row>
    <row r="197" spans="2:7" ht="15.75" x14ac:dyDescent="0.25">
      <c r="B197" s="32"/>
      <c r="C197" s="15" t="s">
        <v>73</v>
      </c>
    </row>
    <row r="198" spans="2:7" ht="75" x14ac:dyDescent="0.25">
      <c r="C198" s="19" t="s">
        <v>75</v>
      </c>
    </row>
    <row r="199" spans="2:7" ht="18" x14ac:dyDescent="0.25">
      <c r="C199" t="s">
        <v>77</v>
      </c>
      <c r="D199" s="1" t="s">
        <v>76</v>
      </c>
      <c r="E199" s="1">
        <v>33</v>
      </c>
      <c r="F199" s="1" t="s">
        <v>21</v>
      </c>
    </row>
    <row r="200" spans="2:7" ht="18" x14ac:dyDescent="0.25">
      <c r="C200" t="s">
        <v>78</v>
      </c>
      <c r="D200" s="1" t="s">
        <v>80</v>
      </c>
      <c r="E200" s="1">
        <v>20</v>
      </c>
      <c r="F200" s="1" t="s">
        <v>21</v>
      </c>
    </row>
    <row r="201" spans="2:7" ht="18" x14ac:dyDescent="0.25">
      <c r="C201" t="s">
        <v>79</v>
      </c>
      <c r="D201" s="1" t="s">
        <v>80</v>
      </c>
      <c r="E201" s="1">
        <v>35</v>
      </c>
      <c r="F201" s="1" t="s">
        <v>21</v>
      </c>
    </row>
    <row r="202" spans="2:7" x14ac:dyDescent="0.25">
      <c r="C202" t="s">
        <v>81</v>
      </c>
    </row>
    <row r="203" spans="2:7" ht="18" x14ac:dyDescent="0.25">
      <c r="C203" s="2" t="s">
        <v>77</v>
      </c>
      <c r="D203" s="5" t="s">
        <v>83</v>
      </c>
      <c r="E203" s="23">
        <f>E199/$D$34</f>
        <v>11.785714285714286</v>
      </c>
      <c r="F203" s="5" t="s">
        <v>131</v>
      </c>
    </row>
    <row r="204" spans="2:7" ht="18" x14ac:dyDescent="0.25">
      <c r="C204" s="2" t="s">
        <v>78</v>
      </c>
      <c r="D204" s="5" t="s">
        <v>84</v>
      </c>
      <c r="E204" s="23">
        <f t="shared" ref="E204" si="0">E200/$D$34</f>
        <v>7.1428571428571432</v>
      </c>
      <c r="F204" s="5" t="s">
        <v>131</v>
      </c>
    </row>
    <row r="205" spans="2:7" ht="18" x14ac:dyDescent="0.25">
      <c r="C205" s="2" t="s">
        <v>79</v>
      </c>
      <c r="D205" s="5" t="s">
        <v>84</v>
      </c>
      <c r="E205" s="23">
        <f>E201/$D$34</f>
        <v>12.5</v>
      </c>
      <c r="F205" s="5" t="s">
        <v>131</v>
      </c>
    </row>
    <row r="207" spans="2:7" ht="15.75" x14ac:dyDescent="0.25">
      <c r="B207" s="80" t="s">
        <v>112</v>
      </c>
      <c r="C207" s="80"/>
      <c r="D207" s="80"/>
      <c r="E207" s="80"/>
      <c r="F207" s="80"/>
      <c r="G207" s="80"/>
    </row>
    <row r="209" spans="2:11" ht="15.75" x14ac:dyDescent="0.25">
      <c r="B209" s="32"/>
      <c r="C209" s="35" t="s">
        <v>184</v>
      </c>
    </row>
    <row r="210" spans="2:11" x14ac:dyDescent="0.25">
      <c r="C210" s="31" t="s">
        <v>87</v>
      </c>
    </row>
    <row r="211" spans="2:11" ht="28.5" customHeight="1" x14ac:dyDescent="0.25">
      <c r="B211">
        <v>1</v>
      </c>
      <c r="C211" s="22" t="s">
        <v>129</v>
      </c>
      <c r="D211" s="4" t="s">
        <v>6</v>
      </c>
      <c r="E211" s="29">
        <f>E51</f>
        <v>12.5</v>
      </c>
      <c r="F211" s="4" t="s">
        <v>130</v>
      </c>
      <c r="G211" s="83" t="s">
        <v>201</v>
      </c>
    </row>
    <row r="212" spans="2:11" ht="28.5" customHeight="1" x14ac:dyDescent="0.25">
      <c r="B212">
        <v>2</v>
      </c>
      <c r="C212" s="40" t="s">
        <v>180</v>
      </c>
      <c r="D212" s="4" t="s">
        <v>12</v>
      </c>
      <c r="E212" s="29">
        <f>E54</f>
        <v>21</v>
      </c>
      <c r="F212" s="4" t="s">
        <v>130</v>
      </c>
      <c r="G212" s="84"/>
      <c r="K212" s="45"/>
    </row>
    <row r="213" spans="2:11" ht="28.5" customHeight="1" x14ac:dyDescent="0.25">
      <c r="B213">
        <v>3</v>
      </c>
      <c r="C213" s="40" t="s">
        <v>181</v>
      </c>
      <c r="D213" s="4" t="s">
        <v>12</v>
      </c>
      <c r="E213" s="29">
        <f>E56</f>
        <v>0</v>
      </c>
      <c r="F213" s="4" t="s">
        <v>130</v>
      </c>
      <c r="G213" s="84"/>
    </row>
    <row r="214" spans="2:11" ht="28.5" customHeight="1" x14ac:dyDescent="0.25">
      <c r="B214">
        <v>4</v>
      </c>
      <c r="C214" s="22" t="s">
        <v>196</v>
      </c>
      <c r="D214" s="4" t="s">
        <v>26</v>
      </c>
      <c r="E214" s="29">
        <f>E117</f>
        <v>20</v>
      </c>
      <c r="F214" s="4" t="s">
        <v>130</v>
      </c>
      <c r="G214" s="84"/>
    </row>
    <row r="215" spans="2:11" ht="28.5" customHeight="1" x14ac:dyDescent="0.25">
      <c r="B215">
        <v>5</v>
      </c>
      <c r="C215" s="22" t="s">
        <v>187</v>
      </c>
      <c r="D215" s="4" t="s">
        <v>23</v>
      </c>
      <c r="E215" s="29">
        <f>E134</f>
        <v>85.29715987262162</v>
      </c>
      <c r="F215" s="4" t="s">
        <v>130</v>
      </c>
      <c r="G215" s="84"/>
    </row>
    <row r="216" spans="2:11" ht="28.5" customHeight="1" x14ac:dyDescent="0.25">
      <c r="B216">
        <v>6</v>
      </c>
      <c r="C216" s="22" t="s">
        <v>188</v>
      </c>
      <c r="D216" s="4" t="s">
        <v>23</v>
      </c>
      <c r="E216" s="29">
        <f>E135</f>
        <v>47.084032249687134</v>
      </c>
      <c r="F216" s="4" t="s">
        <v>130</v>
      </c>
      <c r="G216" s="84"/>
    </row>
    <row r="217" spans="2:11" ht="28.5" customHeight="1" x14ac:dyDescent="0.25">
      <c r="B217" s="41">
        <v>7</v>
      </c>
      <c r="C217" s="22" t="s">
        <v>189</v>
      </c>
      <c r="D217" s="4" t="s">
        <v>25</v>
      </c>
      <c r="E217" s="29">
        <f>E136</f>
        <v>68.511964886601277</v>
      </c>
      <c r="F217" s="4" t="s">
        <v>130</v>
      </c>
      <c r="G217" s="85"/>
    </row>
    <row r="218" spans="2:11" ht="28.5" customHeight="1" x14ac:dyDescent="0.25">
      <c r="C218" s="31" t="s">
        <v>91</v>
      </c>
      <c r="D218" s="22"/>
      <c r="E218" s="29"/>
      <c r="F218" s="4"/>
      <c r="G218" s="42"/>
    </row>
    <row r="219" spans="2:11" ht="28.5" customHeight="1" x14ac:dyDescent="0.25">
      <c r="B219">
        <v>8</v>
      </c>
      <c r="C219" s="22" t="s">
        <v>190</v>
      </c>
      <c r="D219" s="4" t="s">
        <v>138</v>
      </c>
      <c r="E219" s="6">
        <f>+Foglio2!S33/$E$4</f>
        <v>3.278125743036651E-6</v>
      </c>
      <c r="F219" s="4" t="s">
        <v>21</v>
      </c>
      <c r="G219" s="86" t="s">
        <v>200</v>
      </c>
    </row>
    <row r="220" spans="2:11" ht="28.5" customHeight="1" x14ac:dyDescent="0.25">
      <c r="B220">
        <v>9</v>
      </c>
      <c r="C220" s="22" t="s">
        <v>191</v>
      </c>
      <c r="D220" s="4" t="s">
        <v>43</v>
      </c>
      <c r="E220" s="6">
        <f>+Foglio2!S34/$E$4</f>
        <v>1.828500016036934E-6</v>
      </c>
      <c r="F220" s="4" t="s">
        <v>21</v>
      </c>
      <c r="G220" s="87"/>
    </row>
    <row r="221" spans="2:11" ht="28.5" customHeight="1" x14ac:dyDescent="0.25">
      <c r="B221" s="36">
        <v>10</v>
      </c>
      <c r="C221" s="30" t="s">
        <v>123</v>
      </c>
      <c r="D221" s="4" t="s">
        <v>92</v>
      </c>
      <c r="E221" s="6">
        <f>+Foglio2!S35/$E$4</f>
        <v>19.298245614035089</v>
      </c>
      <c r="F221" s="4" t="s">
        <v>21</v>
      </c>
      <c r="G221" s="87"/>
    </row>
    <row r="222" spans="2:11" ht="28.5" customHeight="1" x14ac:dyDescent="0.25">
      <c r="B222">
        <v>11</v>
      </c>
      <c r="C222" s="22" t="s">
        <v>197</v>
      </c>
      <c r="D222" s="4" t="s">
        <v>122</v>
      </c>
      <c r="E222" s="6">
        <f>+Foglio2!S36/$E$4</f>
        <v>33</v>
      </c>
      <c r="F222" s="4" t="s">
        <v>21</v>
      </c>
      <c r="G222" s="87"/>
    </row>
    <row r="223" spans="2:11" ht="28.5" customHeight="1" x14ac:dyDescent="0.25">
      <c r="B223">
        <v>12</v>
      </c>
      <c r="C223" s="22" t="s">
        <v>198</v>
      </c>
      <c r="D223" s="4" t="s">
        <v>192</v>
      </c>
      <c r="E223" s="6">
        <f>+Foglio2!S37/$E$4</f>
        <v>20</v>
      </c>
      <c r="F223" s="4" t="s">
        <v>21</v>
      </c>
      <c r="G223" s="87"/>
    </row>
    <row r="224" spans="2:11" ht="28.5" customHeight="1" x14ac:dyDescent="0.25">
      <c r="B224">
        <v>13</v>
      </c>
      <c r="C224" s="22" t="s">
        <v>79</v>
      </c>
      <c r="D224" s="4" t="s">
        <v>193</v>
      </c>
      <c r="E224" s="6">
        <f>+Foglio2!S38/$E$4</f>
        <v>35</v>
      </c>
      <c r="F224" s="4" t="s">
        <v>21</v>
      </c>
      <c r="G224" s="87"/>
    </row>
    <row r="225" spans="2:7" x14ac:dyDescent="0.25">
      <c r="D225" s="4"/>
      <c r="E225" s="4"/>
      <c r="F225" s="4"/>
    </row>
    <row r="226" spans="2:7" x14ac:dyDescent="0.25">
      <c r="B226" s="81" t="s">
        <v>199</v>
      </c>
      <c r="C226" s="81"/>
      <c r="D226" s="81"/>
      <c r="E226" s="81"/>
      <c r="F226" s="81"/>
      <c r="G226" s="81"/>
    </row>
    <row r="228" spans="2:7" ht="15.75" x14ac:dyDescent="0.25">
      <c r="B228" s="80" t="s">
        <v>260</v>
      </c>
      <c r="C228" s="80"/>
      <c r="D228" s="80"/>
      <c r="E228" s="80"/>
      <c r="F228" s="80"/>
      <c r="G228" s="80"/>
    </row>
    <row r="230" spans="2:7" x14ac:dyDescent="0.25">
      <c r="C230" s="69" t="s">
        <v>202</v>
      </c>
    </row>
    <row r="231" spans="2:7" ht="15.75" thickBot="1" x14ac:dyDescent="0.3"/>
    <row r="232" spans="2:7" ht="16.5" thickTop="1" thickBot="1" x14ac:dyDescent="0.3">
      <c r="C232" t="s">
        <v>262</v>
      </c>
      <c r="D232" s="1" t="s">
        <v>95</v>
      </c>
      <c r="E232" s="38">
        <v>6.7</v>
      </c>
      <c r="F232" s="1" t="s">
        <v>1</v>
      </c>
    </row>
    <row r="233" spans="2:7" ht="19.5" thickTop="1" thickBot="1" x14ac:dyDescent="0.3">
      <c r="C233" t="s">
        <v>203</v>
      </c>
      <c r="D233" s="68" t="s">
        <v>208</v>
      </c>
      <c r="E233" s="38">
        <v>19</v>
      </c>
      <c r="F233" s="4" t="s">
        <v>132</v>
      </c>
    </row>
    <row r="234" spans="2:7" ht="19.5" thickTop="1" thickBot="1" x14ac:dyDescent="0.3">
      <c r="C234" t="s">
        <v>258</v>
      </c>
      <c r="D234" s="68" t="s">
        <v>259</v>
      </c>
      <c r="E234" s="38">
        <v>28.5</v>
      </c>
      <c r="F234" s="4" t="s">
        <v>261</v>
      </c>
    </row>
    <row r="235" spans="2:7" ht="15.75" thickTop="1" x14ac:dyDescent="0.25">
      <c r="C235" t="s">
        <v>204</v>
      </c>
      <c r="D235" s="1" t="s">
        <v>205</v>
      </c>
      <c r="E235" s="37">
        <f>(1-SIN(RADIANS(E234)))</f>
        <v>0.52284123974039165</v>
      </c>
      <c r="F235" s="67" t="s">
        <v>18</v>
      </c>
    </row>
    <row r="236" spans="2:7" ht="17.25" x14ac:dyDescent="0.25">
      <c r="C236" s="22" t="s">
        <v>209</v>
      </c>
      <c r="D236" s="4" t="s">
        <v>227</v>
      </c>
      <c r="E236" s="29">
        <f>E232*E233*E235</f>
        <v>66.557689818951857</v>
      </c>
      <c r="F236" s="4" t="s">
        <v>130</v>
      </c>
    </row>
    <row r="237" spans="2:7" x14ac:dyDescent="0.25">
      <c r="C237" t="s">
        <v>211</v>
      </c>
      <c r="D237" s="1" t="s">
        <v>95</v>
      </c>
      <c r="E237" s="9">
        <f>E11</f>
        <v>1</v>
      </c>
      <c r="F237" s="1" t="s">
        <v>1</v>
      </c>
    </row>
    <row r="238" spans="2:7" ht="17.25" x14ac:dyDescent="0.25">
      <c r="C238" t="s">
        <v>213</v>
      </c>
      <c r="D238" s="1" t="s">
        <v>214</v>
      </c>
      <c r="E238" s="9">
        <f>E237*E15</f>
        <v>21</v>
      </c>
      <c r="F238" s="4" t="s">
        <v>130</v>
      </c>
    </row>
    <row r="239" spans="2:7" ht="17.25" x14ac:dyDescent="0.25">
      <c r="C239" t="s">
        <v>219</v>
      </c>
      <c r="D239" s="1" t="s">
        <v>223</v>
      </c>
      <c r="E239" s="9">
        <f>+E238*$E$235</f>
        <v>10.979666034548224</v>
      </c>
      <c r="F239" s="4" t="s">
        <v>130</v>
      </c>
    </row>
    <row r="240" spans="2:7" x14ac:dyDescent="0.25">
      <c r="D240" s="1"/>
      <c r="E240" s="9"/>
      <c r="F240" s="4"/>
    </row>
    <row r="241" spans="3:6" ht="18" x14ac:dyDescent="0.25">
      <c r="C241" s="15" t="s">
        <v>206</v>
      </c>
      <c r="D241" s="75" t="s">
        <v>207</v>
      </c>
      <c r="E241" s="76">
        <f>+E236+E239</f>
        <v>77.537355853500088</v>
      </c>
      <c r="F241" s="75" t="s">
        <v>244</v>
      </c>
    </row>
    <row r="243" spans="3:6" x14ac:dyDescent="0.25">
      <c r="C243" s="69" t="s">
        <v>210</v>
      </c>
    </row>
    <row r="244" spans="3:6" ht="17.25" x14ac:dyDescent="0.25">
      <c r="C244" t="s">
        <v>217</v>
      </c>
      <c r="D244" s="1" t="s">
        <v>215</v>
      </c>
      <c r="E244" s="9">
        <f>+E215</f>
        <v>85.29715987262162</v>
      </c>
      <c r="F244" s="4" t="s">
        <v>130</v>
      </c>
    </row>
    <row r="245" spans="3:6" ht="17.25" x14ac:dyDescent="0.25">
      <c r="C245" t="s">
        <v>218</v>
      </c>
      <c r="D245" s="1" t="s">
        <v>215</v>
      </c>
      <c r="E245" s="9">
        <f>+E216</f>
        <v>47.084032249687134</v>
      </c>
      <c r="F245" s="4" t="s">
        <v>130</v>
      </c>
    </row>
    <row r="246" spans="3:6" ht="17.25" x14ac:dyDescent="0.25">
      <c r="C246" t="s">
        <v>212</v>
      </c>
      <c r="D246" s="1" t="s">
        <v>216</v>
      </c>
      <c r="E246" s="9">
        <f>+E217</f>
        <v>68.511964886601277</v>
      </c>
      <c r="F246" s="4" t="s">
        <v>130</v>
      </c>
    </row>
    <row r="247" spans="3:6" ht="17.25" x14ac:dyDescent="0.25">
      <c r="C247" t="s">
        <v>220</v>
      </c>
      <c r="D247" s="1" t="s">
        <v>224</v>
      </c>
      <c r="E247" s="9">
        <f t="shared" ref="E247:E249" si="1">+E244*$E$235</f>
        <v>44.596872814135878</v>
      </c>
      <c r="F247" s="4" t="s">
        <v>130</v>
      </c>
    </row>
    <row r="248" spans="3:6" ht="17.25" x14ac:dyDescent="0.25">
      <c r="C248" t="s">
        <v>221</v>
      </c>
      <c r="D248" s="1" t="s">
        <v>224</v>
      </c>
      <c r="E248" s="9">
        <f t="shared" si="1"/>
        <v>24.617473793403004</v>
      </c>
      <c r="F248" s="4" t="s">
        <v>130</v>
      </c>
    </row>
    <row r="249" spans="3:6" ht="17.25" x14ac:dyDescent="0.25">
      <c r="C249" t="s">
        <v>222</v>
      </c>
      <c r="D249" s="1" t="s">
        <v>225</v>
      </c>
      <c r="E249" s="9">
        <f t="shared" si="1"/>
        <v>35.820880658360792</v>
      </c>
      <c r="F249" s="4" t="s">
        <v>130</v>
      </c>
    </row>
    <row r="251" spans="3:6" ht="18" x14ac:dyDescent="0.25">
      <c r="C251" s="15" t="s">
        <v>255</v>
      </c>
      <c r="D251" s="75" t="s">
        <v>226</v>
      </c>
      <c r="E251" s="76">
        <f>MAXA(E247:E249)</f>
        <v>44.596872814135878</v>
      </c>
      <c r="F251" s="75" t="s">
        <v>244</v>
      </c>
    </row>
    <row r="253" spans="3:6" x14ac:dyDescent="0.25">
      <c r="C253" s="69" t="s">
        <v>228</v>
      </c>
    </row>
    <row r="254" spans="3:6" ht="15.75" thickBot="1" x14ac:dyDescent="0.3"/>
    <row r="255" spans="3:6" ht="16.5" thickTop="1" thickBot="1" x14ac:dyDescent="0.3">
      <c r="C255" s="73" t="s">
        <v>229</v>
      </c>
      <c r="D255" s="72"/>
      <c r="E255" s="38" t="s">
        <v>5</v>
      </c>
      <c r="F255" s="71"/>
    </row>
    <row r="256" spans="3:6" ht="20.25" thickTop="1" thickBot="1" x14ac:dyDescent="0.3">
      <c r="C256" s="73" t="s">
        <v>230</v>
      </c>
      <c r="D256" s="74" t="s">
        <v>238</v>
      </c>
      <c r="E256" s="79">
        <v>2.46</v>
      </c>
      <c r="F256" s="71"/>
    </row>
    <row r="257" spans="3:6" ht="20.25" thickTop="1" thickBot="1" x14ac:dyDescent="0.3">
      <c r="C257" s="73" t="s">
        <v>231</v>
      </c>
      <c r="D257" s="74" t="s">
        <v>239</v>
      </c>
      <c r="E257" s="79">
        <v>0.28199999999999997</v>
      </c>
      <c r="F257" s="71"/>
    </row>
    <row r="258" spans="3:6" ht="20.25" thickTop="1" thickBot="1" x14ac:dyDescent="0.3">
      <c r="C258" s="73" t="s">
        <v>232</v>
      </c>
      <c r="D258" s="74" t="s">
        <v>240</v>
      </c>
      <c r="E258" s="79">
        <v>1.2</v>
      </c>
      <c r="F258" s="71"/>
    </row>
    <row r="259" spans="3:6" ht="20.25" thickTop="1" thickBot="1" x14ac:dyDescent="0.3">
      <c r="C259" s="73" t="s">
        <v>233</v>
      </c>
      <c r="D259" s="74" t="s">
        <v>241</v>
      </c>
      <c r="E259" s="79">
        <v>1</v>
      </c>
      <c r="F259" s="71"/>
    </row>
    <row r="260" spans="3:6" ht="16.5" thickTop="1" x14ac:dyDescent="0.25">
      <c r="C260" s="73" t="s">
        <v>235</v>
      </c>
      <c r="D260" s="74" t="s">
        <v>234</v>
      </c>
      <c r="E260" s="70">
        <f>E258*E259</f>
        <v>1.2</v>
      </c>
      <c r="F260" s="71"/>
    </row>
    <row r="261" spans="3:6" ht="18.75" x14ac:dyDescent="0.25">
      <c r="C261" s="73" t="s">
        <v>236</v>
      </c>
      <c r="D261" s="74" t="s">
        <v>242</v>
      </c>
      <c r="E261" s="70">
        <v>1</v>
      </c>
      <c r="F261" s="71"/>
    </row>
    <row r="262" spans="3:6" ht="18.75" x14ac:dyDescent="0.25">
      <c r="C262" s="73" t="s">
        <v>237</v>
      </c>
      <c r="D262" s="74" t="s">
        <v>243</v>
      </c>
      <c r="E262" s="70">
        <f>E260*E257</f>
        <v>0.33839999999999998</v>
      </c>
      <c r="F262" s="71"/>
    </row>
    <row r="263" spans="3:6" ht="15.75" x14ac:dyDescent="0.25">
      <c r="C263" s="78" t="s">
        <v>249</v>
      </c>
      <c r="D263" s="77" t="s">
        <v>247</v>
      </c>
      <c r="E263" s="70">
        <f>+E260*E257*E261</f>
        <v>0.33839999999999998</v>
      </c>
    </row>
    <row r="264" spans="3:6" ht="15.75" x14ac:dyDescent="0.25">
      <c r="C264" s="78" t="s">
        <v>250</v>
      </c>
      <c r="D264" s="77" t="s">
        <v>248</v>
      </c>
      <c r="E264" s="70">
        <f>+E263/2</f>
        <v>0.16919999999999999</v>
      </c>
    </row>
    <row r="265" spans="3:6" x14ac:dyDescent="0.25">
      <c r="E265" s="37"/>
    </row>
    <row r="266" spans="3:6" ht="17.25" x14ac:dyDescent="0.25">
      <c r="C266" s="22" t="s">
        <v>245</v>
      </c>
      <c r="D266" s="1" t="s">
        <v>257</v>
      </c>
      <c r="E266" s="29">
        <f>E232^2*E233*E262/E232</f>
        <v>43.078319999999991</v>
      </c>
      <c r="F266" s="4" t="s">
        <v>130</v>
      </c>
    </row>
    <row r="267" spans="3:6" ht="17.25" x14ac:dyDescent="0.25">
      <c r="C267" t="s">
        <v>251</v>
      </c>
      <c r="D267" s="1" t="s">
        <v>252</v>
      </c>
      <c r="E267" s="29">
        <f>(+E211+E212+E213+MAXA(E215,E216,E217)*0.2)*E263</f>
        <v>17.109311780179031</v>
      </c>
      <c r="F267" s="4" t="s">
        <v>130</v>
      </c>
    </row>
    <row r="268" spans="3:6" ht="17.25" x14ac:dyDescent="0.25">
      <c r="C268" t="s">
        <v>253</v>
      </c>
      <c r="D268" s="66" t="s">
        <v>254</v>
      </c>
      <c r="E268" s="29">
        <f>(+E211+E212+E213+MAXA(E215,E216,E217)*0.2)*E264</f>
        <v>8.5546558900895153</v>
      </c>
      <c r="F268" s="4" t="s">
        <v>130</v>
      </c>
    </row>
    <row r="269" spans="3:6" x14ac:dyDescent="0.25">
      <c r="D269" s="66"/>
      <c r="E269" s="29"/>
    </row>
    <row r="270" spans="3:6" ht="18" x14ac:dyDescent="0.25">
      <c r="C270" s="15" t="s">
        <v>256</v>
      </c>
      <c r="D270" s="75" t="s">
        <v>246</v>
      </c>
      <c r="E270" s="76">
        <f>E266+E267</f>
        <v>60.187631780179018</v>
      </c>
      <c r="F270" s="75" t="s">
        <v>244</v>
      </c>
    </row>
    <row r="271" spans="3:6" x14ac:dyDescent="0.25">
      <c r="E271" s="29"/>
    </row>
    <row r="272" spans="3:6" x14ac:dyDescent="0.25">
      <c r="E272" s="29"/>
    </row>
  </sheetData>
  <mergeCells count="9">
    <mergeCell ref="B228:G228"/>
    <mergeCell ref="B226:G226"/>
    <mergeCell ref="B48:G48"/>
    <mergeCell ref="B2:G2"/>
    <mergeCell ref="B207:G207"/>
    <mergeCell ref="B171:G171"/>
    <mergeCell ref="B19:G19"/>
    <mergeCell ref="G211:G217"/>
    <mergeCell ref="G219:G224"/>
  </mergeCells>
  <conditionalFormatting sqref="D170">
    <cfRule type="cellIs" dxfId="0" priority="1" operator="equal">
      <formula>"verificato"</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T88"/>
  <sheetViews>
    <sheetView workbookViewId="0">
      <selection activeCell="L4" sqref="L4:T20"/>
    </sheetView>
  </sheetViews>
  <sheetFormatPr defaultRowHeight="15" x14ac:dyDescent="0.25"/>
  <cols>
    <col min="11" max="12" width="13.5703125" customWidth="1"/>
    <col min="18" max="18" width="18.42578125" customWidth="1"/>
  </cols>
  <sheetData>
    <row r="4" spans="12:20" x14ac:dyDescent="0.25">
      <c r="L4" s="89"/>
      <c r="M4" s="89"/>
      <c r="N4" s="89"/>
      <c r="R4" s="89"/>
      <c r="S4" s="89"/>
      <c r="T4" s="89"/>
    </row>
    <row r="6" spans="12:20" x14ac:dyDescent="0.25">
      <c r="L6" s="88"/>
      <c r="M6" s="88"/>
      <c r="N6" s="88"/>
      <c r="R6" s="88"/>
      <c r="S6" s="88"/>
      <c r="T6" s="88"/>
    </row>
    <row r="7" spans="12:20" x14ac:dyDescent="0.25">
      <c r="L7" s="7"/>
      <c r="M7" s="7"/>
      <c r="N7" s="7"/>
      <c r="R7" s="7"/>
      <c r="S7" s="7"/>
      <c r="T7" s="7"/>
    </row>
    <row r="8" spans="12:20" x14ac:dyDescent="0.25">
      <c r="L8" s="8"/>
      <c r="M8" s="10"/>
      <c r="N8" s="7"/>
      <c r="R8" s="8"/>
      <c r="S8" s="10"/>
      <c r="T8" s="7"/>
    </row>
    <row r="9" spans="12:20" x14ac:dyDescent="0.25">
      <c r="L9" s="8"/>
      <c r="M9" s="10"/>
      <c r="N9" s="7"/>
      <c r="R9" s="8"/>
      <c r="S9" s="10"/>
      <c r="T9" s="7"/>
    </row>
    <row r="10" spans="12:20" x14ac:dyDescent="0.25">
      <c r="L10" s="8"/>
      <c r="M10" s="10"/>
      <c r="N10" s="7"/>
      <c r="R10" s="8"/>
      <c r="S10" s="10"/>
      <c r="T10" s="7"/>
    </row>
    <row r="11" spans="12:20" x14ac:dyDescent="0.25">
      <c r="R11" s="8"/>
      <c r="S11" s="10"/>
      <c r="T11" s="7"/>
    </row>
    <row r="12" spans="12:20" x14ac:dyDescent="0.25">
      <c r="R12" s="11"/>
    </row>
    <row r="15" spans="12:20" x14ac:dyDescent="0.25">
      <c r="L15" s="88"/>
      <c r="M15" s="88"/>
      <c r="N15" s="88"/>
      <c r="R15" s="88"/>
      <c r="S15" s="88"/>
      <c r="T15" s="88"/>
    </row>
    <row r="16" spans="12:20" x14ac:dyDescent="0.25">
      <c r="L16" s="7"/>
      <c r="M16" s="7"/>
      <c r="N16" s="7"/>
      <c r="R16" s="7"/>
      <c r="S16" s="7"/>
      <c r="T16" s="7"/>
    </row>
    <row r="17" spans="12:20" x14ac:dyDescent="0.25">
      <c r="L17" s="8"/>
      <c r="M17" s="10"/>
      <c r="N17" s="7"/>
      <c r="R17" s="8"/>
      <c r="S17" s="10"/>
      <c r="T17" s="7"/>
    </row>
    <row r="18" spans="12:20" x14ac:dyDescent="0.25">
      <c r="L18" s="8"/>
      <c r="M18" s="10"/>
      <c r="N18" s="7"/>
      <c r="R18" s="8"/>
      <c r="S18" s="10"/>
      <c r="T18" s="7"/>
    </row>
    <row r="19" spans="12:20" x14ac:dyDescent="0.25">
      <c r="L19" s="8"/>
      <c r="M19" s="10"/>
      <c r="N19" s="7"/>
      <c r="R19" s="8"/>
      <c r="S19" s="10"/>
      <c r="T19" s="7"/>
    </row>
    <row r="20" spans="12:20" x14ac:dyDescent="0.25">
      <c r="R20" s="8"/>
      <c r="S20" s="10"/>
      <c r="T20" s="7"/>
    </row>
    <row r="25" spans="12:20" x14ac:dyDescent="0.25">
      <c r="L25" t="s">
        <v>10</v>
      </c>
      <c r="M25" s="1" t="s">
        <v>11</v>
      </c>
      <c r="N25" s="62">
        <f>Foglio1!D34</f>
        <v>2.8</v>
      </c>
      <c r="O25" t="s">
        <v>1</v>
      </c>
    </row>
    <row r="30" spans="12:20" x14ac:dyDescent="0.25">
      <c r="L30" s="49"/>
      <c r="M30" s="49"/>
      <c r="N30" s="49"/>
      <c r="P30" s="1"/>
    </row>
    <row r="31" spans="12:20" x14ac:dyDescent="0.25">
      <c r="L31" s="90" t="s">
        <v>137</v>
      </c>
      <c r="M31" s="90"/>
      <c r="N31" s="90"/>
      <c r="O31" s="90"/>
      <c r="P31" s="1"/>
    </row>
    <row r="32" spans="12:20" ht="15.75" thickBot="1" x14ac:dyDescent="0.3">
      <c r="L32" s="21"/>
      <c r="M32" s="21">
        <f>Foglio2!N25</f>
        <v>2.8</v>
      </c>
      <c r="N32" s="21"/>
      <c r="P32" s="1"/>
    </row>
    <row r="33" spans="12:19" x14ac:dyDescent="0.25">
      <c r="L33" s="98"/>
      <c r="M33" s="95" t="s">
        <v>41</v>
      </c>
      <c r="N33" s="101"/>
      <c r="O33" s="3" t="s">
        <v>99</v>
      </c>
      <c r="P33" s="1"/>
      <c r="R33" s="4" t="s">
        <v>138</v>
      </c>
      <c r="S33" s="29">
        <f>Foglio1!E188*Foglio1!D21*Foglio1!D34</f>
        <v>1.8685316735308911E-5</v>
      </c>
    </row>
    <row r="34" spans="12:19" x14ac:dyDescent="0.25">
      <c r="L34" s="99"/>
      <c r="M34" s="96"/>
      <c r="N34" s="102"/>
      <c r="O34" t="s">
        <v>100</v>
      </c>
      <c r="P34" s="1"/>
      <c r="R34" s="4" t="s">
        <v>43</v>
      </c>
      <c r="S34" s="29">
        <f>Foglio1!E190*Foglio1!D21*Foglio1!D34</f>
        <v>1.0422450091410524E-5</v>
      </c>
    </row>
    <row r="35" spans="12:19" ht="18" x14ac:dyDescent="0.25">
      <c r="L35" s="99"/>
      <c r="M35" s="96"/>
      <c r="N35" s="102"/>
      <c r="P35" s="1"/>
      <c r="R35" s="4" t="s">
        <v>92</v>
      </c>
      <c r="S35" s="4">
        <f>Foglio1!E195</f>
        <v>110.00000000000001</v>
      </c>
    </row>
    <row r="36" spans="12:19" ht="18" x14ac:dyDescent="0.25">
      <c r="L36" s="99"/>
      <c r="M36" s="96"/>
      <c r="N36" s="102"/>
      <c r="P36" s="1"/>
      <c r="R36" s="4" t="s">
        <v>122</v>
      </c>
      <c r="S36" s="29">
        <f>Foglio1!E203*Foglio1!$E$4*Foglio1!$D$34</f>
        <v>188.1</v>
      </c>
    </row>
    <row r="37" spans="12:19" ht="18" x14ac:dyDescent="0.25">
      <c r="L37" s="99"/>
      <c r="M37" s="96"/>
      <c r="N37" s="102"/>
      <c r="P37" s="1"/>
      <c r="R37" s="4" t="s">
        <v>192</v>
      </c>
      <c r="S37" s="29">
        <f>Foglio1!E204*Foglio1!$E$4*Foglio1!$E$6</f>
        <v>114</v>
      </c>
    </row>
    <row r="38" spans="12:19" ht="18" x14ac:dyDescent="0.25">
      <c r="L38" s="99"/>
      <c r="M38" s="96"/>
      <c r="N38" s="102"/>
      <c r="P38" s="1"/>
      <c r="R38" s="4" t="s">
        <v>193</v>
      </c>
      <c r="S38" s="29">
        <f>Foglio1!E205*Foglio2!M32*Foglio2!O39</f>
        <v>199.5</v>
      </c>
    </row>
    <row r="39" spans="12:19" x14ac:dyDescent="0.25">
      <c r="L39" s="99"/>
      <c r="M39" s="96"/>
      <c r="N39" s="102"/>
      <c r="O39" s="21">
        <f>Foglio1!E4</f>
        <v>5.7</v>
      </c>
      <c r="P39" s="1"/>
    </row>
    <row r="40" spans="12:19" x14ac:dyDescent="0.25">
      <c r="L40" s="99"/>
      <c r="M40" s="96"/>
      <c r="N40" s="102"/>
      <c r="P40" s="1"/>
    </row>
    <row r="41" spans="12:19" x14ac:dyDescent="0.25">
      <c r="L41" s="99"/>
      <c r="M41" s="96"/>
      <c r="N41" s="102"/>
      <c r="P41" s="1"/>
    </row>
    <row r="42" spans="12:19" x14ac:dyDescent="0.25">
      <c r="L42" s="99"/>
      <c r="M42" s="96"/>
      <c r="N42" s="102"/>
      <c r="P42" s="1"/>
    </row>
    <row r="43" spans="12:19" x14ac:dyDescent="0.25">
      <c r="L43" s="99"/>
      <c r="M43" s="96"/>
      <c r="N43" s="102"/>
      <c r="P43" s="1"/>
    </row>
    <row r="44" spans="12:19" x14ac:dyDescent="0.25">
      <c r="L44" s="99"/>
      <c r="M44" s="96"/>
      <c r="N44" s="102"/>
      <c r="P44" s="1"/>
    </row>
    <row r="45" spans="12:19" ht="15.75" thickBot="1" x14ac:dyDescent="0.3">
      <c r="L45" s="100"/>
      <c r="M45" s="97"/>
      <c r="N45" s="103"/>
      <c r="P45" s="1"/>
    </row>
    <row r="46" spans="12:19" x14ac:dyDescent="0.25">
      <c r="L46" s="94">
        <f>Foglio1!E6</f>
        <v>2.8</v>
      </c>
      <c r="M46" s="94"/>
      <c r="N46" s="94"/>
      <c r="O46" t="s">
        <v>98</v>
      </c>
      <c r="P46" s="1"/>
    </row>
    <row r="51" spans="12:16" ht="15.75" x14ac:dyDescent="0.25">
      <c r="L51" s="80" t="s">
        <v>93</v>
      </c>
      <c r="M51" s="80"/>
      <c r="N51" s="80"/>
      <c r="O51" s="80"/>
      <c r="P51" s="80"/>
    </row>
    <row r="52" spans="12:16" x14ac:dyDescent="0.25">
      <c r="M52" s="2"/>
      <c r="N52" s="5"/>
      <c r="O52" s="5"/>
      <c r="P52" s="5"/>
    </row>
    <row r="53" spans="12:16" x14ac:dyDescent="0.25">
      <c r="M53" t="s">
        <v>102</v>
      </c>
    </row>
    <row r="54" spans="12:16" x14ac:dyDescent="0.25">
      <c r="M54" t="s">
        <v>101</v>
      </c>
      <c r="N54" s="5" t="s">
        <v>95</v>
      </c>
      <c r="O54" s="4">
        <f>Foglio1!E17+Foglio1!E8/2</f>
        <v>1.25</v>
      </c>
      <c r="P54" s="1" t="s">
        <v>1</v>
      </c>
    </row>
    <row r="55" spans="12:16" ht="17.25" x14ac:dyDescent="0.25">
      <c r="M55" t="s">
        <v>106</v>
      </c>
      <c r="N55" s="5" t="s">
        <v>107</v>
      </c>
      <c r="O55" s="37">
        <f>Foglio2!M32*Foglio2!O39</f>
        <v>15.959999999999999</v>
      </c>
      <c r="P55" s="1" t="s">
        <v>108</v>
      </c>
    </row>
    <row r="57" spans="12:16" ht="18" x14ac:dyDescent="0.25">
      <c r="M57" s="22" t="s">
        <v>103</v>
      </c>
      <c r="N57" s="5" t="s">
        <v>109</v>
      </c>
      <c r="O57" s="5">
        <f>Foglio1!E203*O55*O54</f>
        <v>235.125</v>
      </c>
      <c r="P57" s="5" t="s">
        <v>20</v>
      </c>
    </row>
    <row r="58" spans="12:16" ht="18" x14ac:dyDescent="0.25">
      <c r="M58" s="22" t="s">
        <v>104</v>
      </c>
      <c r="N58" s="5" t="s">
        <v>110</v>
      </c>
      <c r="O58" s="23">
        <f>+Foglio1!E204*O54*O55</f>
        <v>142.5</v>
      </c>
      <c r="P58" s="5" t="s">
        <v>20</v>
      </c>
    </row>
    <row r="59" spans="12:16" ht="18" x14ac:dyDescent="0.25">
      <c r="M59" s="22" t="s">
        <v>105</v>
      </c>
      <c r="N59" s="5" t="s">
        <v>110</v>
      </c>
      <c r="O59" s="23">
        <f>+Foglio1!E205*O55*O54</f>
        <v>249.375</v>
      </c>
      <c r="P59" s="5" t="s">
        <v>20</v>
      </c>
    </row>
    <row r="60" spans="12:16" ht="300" x14ac:dyDescent="0.25">
      <c r="M60" s="30" t="s">
        <v>118</v>
      </c>
      <c r="N60" s="5" t="s">
        <v>111</v>
      </c>
      <c r="O60" s="23">
        <f>+Foglio1!E195*O54</f>
        <v>137.50000000000003</v>
      </c>
      <c r="P60" s="5" t="s">
        <v>20</v>
      </c>
    </row>
    <row r="75" spans="3:7" ht="18" x14ac:dyDescent="0.25">
      <c r="C75" s="22" t="s">
        <v>114</v>
      </c>
      <c r="D75" s="4" t="s">
        <v>115</v>
      </c>
      <c r="E75" s="29">
        <f>Foglio2!O57</f>
        <v>235.125</v>
      </c>
      <c r="F75" s="4" t="s">
        <v>20</v>
      </c>
      <c r="G75" s="91" t="s">
        <v>119</v>
      </c>
    </row>
    <row r="76" spans="3:7" ht="18" x14ac:dyDescent="0.25">
      <c r="C76" s="22" t="s">
        <v>104</v>
      </c>
      <c r="D76" s="4" t="s">
        <v>116</v>
      </c>
      <c r="E76" s="29">
        <f>Foglio2!O58</f>
        <v>142.5</v>
      </c>
      <c r="F76" s="4" t="s">
        <v>20</v>
      </c>
      <c r="G76" s="92"/>
    </row>
    <row r="77" spans="3:7" ht="255" x14ac:dyDescent="0.25">
      <c r="C77" s="40" t="s">
        <v>127</v>
      </c>
      <c r="D77" s="4" t="s">
        <v>117</v>
      </c>
      <c r="E77" s="29">
        <f>Foglio2!O60</f>
        <v>137.50000000000003</v>
      </c>
      <c r="F77" s="4" t="s">
        <v>20</v>
      </c>
      <c r="G77" s="93"/>
    </row>
    <row r="81" spans="3:8" ht="18" x14ac:dyDescent="0.25">
      <c r="C81" s="41">
        <v>15</v>
      </c>
      <c r="D81" s="43" t="s">
        <v>113</v>
      </c>
      <c r="E81" s="4" t="s">
        <v>125</v>
      </c>
      <c r="F81" s="4" t="e">
        <f>#REF!</f>
        <v>#REF!</v>
      </c>
      <c r="G81" s="4" t="s">
        <v>21</v>
      </c>
      <c r="H81" s="91" t="s">
        <v>119</v>
      </c>
    </row>
    <row r="82" spans="3:8" x14ac:dyDescent="0.25">
      <c r="C82" s="41">
        <v>16</v>
      </c>
      <c r="D82" s="43" t="s">
        <v>124</v>
      </c>
      <c r="E82" s="4" t="s">
        <v>126</v>
      </c>
      <c r="F82" s="4">
        <f>Foglio2!S35*Foglio2!O54</f>
        <v>137.50000000000003</v>
      </c>
      <c r="G82" s="4" t="s">
        <v>21</v>
      </c>
      <c r="H82" s="93"/>
    </row>
    <row r="87" spans="3:8" ht="18" x14ac:dyDescent="0.25">
      <c r="C87" s="46" t="s">
        <v>89</v>
      </c>
      <c r="D87" s="47" t="s">
        <v>23</v>
      </c>
      <c r="E87" s="48">
        <f>70.56*1.956</f>
        <v>138.01536000000002</v>
      </c>
      <c r="F87" s="47" t="s">
        <v>130</v>
      </c>
    </row>
    <row r="88" spans="3:8" ht="18" x14ac:dyDescent="0.25">
      <c r="C88" s="46" t="s">
        <v>90</v>
      </c>
      <c r="D88" s="47" t="s">
        <v>25</v>
      </c>
      <c r="E88" s="48">
        <f>55.56*1.956</f>
        <v>108.67536</v>
      </c>
      <c r="F88" s="47" t="s">
        <v>130</v>
      </c>
    </row>
  </sheetData>
  <mergeCells count="14">
    <mergeCell ref="L51:P51"/>
    <mergeCell ref="G75:G77"/>
    <mergeCell ref="H81:H82"/>
    <mergeCell ref="L6:N6"/>
    <mergeCell ref="L15:N15"/>
    <mergeCell ref="L46:N46"/>
    <mergeCell ref="M33:M45"/>
    <mergeCell ref="L33:L45"/>
    <mergeCell ref="N33:N45"/>
    <mergeCell ref="R6:T6"/>
    <mergeCell ref="R15:T15"/>
    <mergeCell ref="L4:N4"/>
    <mergeCell ref="R4:T4"/>
    <mergeCell ref="L31:O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Davide</cp:lastModifiedBy>
  <dcterms:created xsi:type="dcterms:W3CDTF">2018-08-29T14:35:35Z</dcterms:created>
  <dcterms:modified xsi:type="dcterms:W3CDTF">2023-10-02T00:08:32Z</dcterms:modified>
</cp:coreProperties>
</file>