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4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3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vide Cicchini\Documents\6.VARIE PER LA PROFESSIONE\PROGRAMMI UTILI\CALCOLO DEL VENTO\"/>
    </mc:Choice>
  </mc:AlternateContent>
  <workbookProtection workbookAlgorithmName="SHA-512" workbookHashValue="wFD7PhjkPgbMFOk+yGohuSBJ+5ddtzDN7LkAvKMXK5qM8vlGl3AebR+zRg+QelciAgD8PkKXLriEywJ0eNIlPg==" workbookSaltValue="ZjJAzUomphTx3+cuk9VdgA==" workbookSpinCount="100000" revisionsAlgorithmName="SHA-512" revisionsHashValue="HT9jPcWu39lpJDk7SZbRKGBlX34PvkN86bO57RHHr0A34X13YV16sLGYjrLe5+wBrQjFfjDHk+Uk358yTfrn/w==" revisionsSaltValue="jwTWGiAq+PHMJmhohca8bQ==" revisionsSpinCount="100000" lockStructure="1" lockRevision="1"/>
  <bookViews>
    <workbookView xWindow="0" yWindow="0" windowWidth="20490" windowHeight="7755"/>
  </bookViews>
  <sheets>
    <sheet name="ISTRUZIONI" sheetId="1" r:id="rId1"/>
    <sheet name="CALCOLO DEL VENTO" sheetId="2" r:id="rId2"/>
    <sheet name="dati nascosti" sheetId="3" state="hidden" r:id="rId3"/>
    <sheet name="DATI NTC" sheetId="4" r:id="rId4"/>
  </sheets>
  <externalReferences>
    <externalReference r:id="rId5"/>
  </externalReferences>
  <definedNames>
    <definedName name="catesp">'DATI NTC'!$B$21:$B$25</definedName>
    <definedName name="for">'dati nascosti'!$X$66:$X$68</definedName>
    <definedName name="formi">'dati nascosti'!$X$67:$X$68</definedName>
    <definedName name="incl">'dati nascosti'!$M$5:$M$95</definedName>
    <definedName name="Regione">[1]Vento!$Q$5:$Q$13</definedName>
    <definedName name="regioni">'DATI NTC'!$B$4:$B$12</definedName>
    <definedName name="rugosità">'DATI NTC'!$B$15:$B$18</definedName>
    <definedName name="sta">'dati nascosti'!$K$5:$K$6</definedName>
    <definedName name="top">'dati nascosti'!$B$35:$B$37</definedName>
    <definedName name="topo">'dati nascosti'!$B$34:$B$37</definedName>
    <definedName name="TR">'DATI NTC'!$H$4:$H$102</definedName>
  </definedNames>
  <calcPr calcId="152511"/>
  <customWorkbookViews>
    <customWorkbookView name="Davide Cicchini - Visualizzazione personale" guid="{C56548B1-AD9F-45D5-A6C9-CFD9EB8CFADF}" mergeInterval="0" personalView="1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9" i="3" l="1"/>
  <c r="Z8" i="3"/>
  <c r="Z7" i="3"/>
  <c r="Z6" i="3"/>
  <c r="Z5" i="3"/>
  <c r="Z4" i="3"/>
  <c r="Y15" i="3"/>
  <c r="AO66" i="3" l="1"/>
  <c r="AO67" i="3" s="1"/>
  <c r="F243" i="2" s="1"/>
  <c r="F247" i="2"/>
  <c r="C250" i="2" s="1"/>
  <c r="F237" i="2"/>
  <c r="C240" i="2" s="1"/>
  <c r="G261" i="2" s="1"/>
  <c r="G177" i="2"/>
  <c r="C244" i="2" l="1"/>
  <c r="AP66" i="3"/>
  <c r="AP67" i="3"/>
  <c r="C246" i="2"/>
  <c r="F244" i="2"/>
  <c r="C236" i="2"/>
  <c r="C238" i="2"/>
  <c r="C248" i="2"/>
  <c r="C234" i="2"/>
  <c r="G258" i="2" s="1"/>
  <c r="F234" i="2"/>
  <c r="F233" i="2"/>
  <c r="Z15" i="3"/>
  <c r="G260" i="2" l="1"/>
  <c r="G259" i="2"/>
  <c r="E265" i="2" s="1"/>
  <c r="Z11" i="3"/>
  <c r="Z10" i="3"/>
  <c r="Z12" i="3"/>
  <c r="H35" i="2"/>
  <c r="H32" i="2"/>
  <c r="B55" i="3"/>
  <c r="B54" i="3"/>
  <c r="B53" i="3"/>
  <c r="B52" i="3"/>
  <c r="G176" i="2"/>
  <c r="D258" i="2"/>
  <c r="D259" i="2" s="1"/>
  <c r="B69" i="2"/>
  <c r="F37" i="2" l="1"/>
  <c r="D261" i="2"/>
  <c r="D260" i="2"/>
  <c r="O75" i="3" l="1"/>
  <c r="N75" i="3"/>
  <c r="O76" i="3"/>
  <c r="O77" i="3" s="1"/>
  <c r="O78" i="3" s="1"/>
  <c r="O79" i="3" s="1"/>
  <c r="O80" i="3" s="1"/>
  <c r="O81" i="3" s="1"/>
  <c r="O82" i="3" s="1"/>
  <c r="O83" i="3" s="1"/>
  <c r="O84" i="3" s="1"/>
  <c r="O85" i="3" s="1"/>
  <c r="O86" i="3" s="1"/>
  <c r="O87" i="3" s="1"/>
  <c r="O88" i="3" s="1"/>
  <c r="O89" i="3" s="1"/>
  <c r="O90" i="3" s="1"/>
  <c r="O91" i="3" s="1"/>
  <c r="O92" i="3" s="1"/>
  <c r="O93" i="3" s="1"/>
  <c r="O94" i="3" s="1"/>
  <c r="O95" i="3" s="1"/>
  <c r="O96" i="3" s="1"/>
  <c r="O97" i="3" s="1"/>
  <c r="O98" i="3" s="1"/>
  <c r="O99" i="3" s="1"/>
  <c r="O100" i="3" s="1"/>
  <c r="O101" i="3" s="1"/>
  <c r="O102" i="3" s="1"/>
  <c r="O103" i="3" s="1"/>
  <c r="O104" i="3" s="1"/>
  <c r="D67" i="2"/>
  <c r="M7" i="3"/>
  <c r="M8" i="3" s="1"/>
  <c r="M9" i="3" s="1"/>
  <c r="M10" i="3" s="1"/>
  <c r="M11" i="3" s="1"/>
  <c r="M12" i="3" s="1"/>
  <c r="M13" i="3" s="1"/>
  <c r="M14" i="3" s="1"/>
  <c r="M15" i="3" s="1"/>
  <c r="M16" i="3" s="1"/>
  <c r="M17" i="3" s="1"/>
  <c r="M18" i="3" s="1"/>
  <c r="M19" i="3" s="1"/>
  <c r="M20" i="3" s="1"/>
  <c r="M21" i="3" s="1"/>
  <c r="M22" i="3" s="1"/>
  <c r="M23" i="3" s="1"/>
  <c r="M24" i="3" s="1"/>
  <c r="M25" i="3" s="1"/>
  <c r="M26" i="3" s="1"/>
  <c r="M27" i="3" s="1"/>
  <c r="M28" i="3" s="1"/>
  <c r="M29" i="3" s="1"/>
  <c r="M30" i="3" s="1"/>
  <c r="M31" i="3" s="1"/>
  <c r="M32" i="3" s="1"/>
  <c r="M33" i="3" s="1"/>
  <c r="M34" i="3" s="1"/>
  <c r="M35" i="3" s="1"/>
  <c r="M36" i="3" s="1"/>
  <c r="M37" i="3" s="1"/>
  <c r="M38" i="3" s="1"/>
  <c r="M39" i="3" s="1"/>
  <c r="M40" i="3" s="1"/>
  <c r="M41" i="3" s="1"/>
  <c r="M42" i="3" s="1"/>
  <c r="M43" i="3" s="1"/>
  <c r="M44" i="3" s="1"/>
  <c r="M45" i="3" s="1"/>
  <c r="M46" i="3" s="1"/>
  <c r="M47" i="3" s="1"/>
  <c r="M48" i="3" s="1"/>
  <c r="M49" i="3" s="1"/>
  <c r="M50" i="3" s="1"/>
  <c r="M51" i="3" s="1"/>
  <c r="M52" i="3" s="1"/>
  <c r="M53" i="3" s="1"/>
  <c r="M54" i="3" s="1"/>
  <c r="M55" i="3" s="1"/>
  <c r="M56" i="3" s="1"/>
  <c r="M57" i="3" s="1"/>
  <c r="M58" i="3" s="1"/>
  <c r="M59" i="3" s="1"/>
  <c r="M60" i="3" s="1"/>
  <c r="M61" i="3" s="1"/>
  <c r="M62" i="3" s="1"/>
  <c r="M63" i="3" s="1"/>
  <c r="M64" i="3" s="1"/>
  <c r="M65" i="3" s="1"/>
  <c r="M66" i="3" s="1"/>
  <c r="M67" i="3" s="1"/>
  <c r="M68" i="3" s="1"/>
  <c r="M69" i="3" s="1"/>
  <c r="M70" i="3" s="1"/>
  <c r="M71" i="3" s="1"/>
  <c r="M72" i="3" s="1"/>
  <c r="M73" i="3" s="1"/>
  <c r="M74" i="3" s="1"/>
  <c r="M75" i="3" s="1"/>
  <c r="M76" i="3" s="1"/>
  <c r="M77" i="3" s="1"/>
  <c r="M6" i="3"/>
  <c r="B15" i="3" l="1"/>
  <c r="M78" i="3"/>
  <c r="D40" i="3"/>
  <c r="F157" i="2" s="1"/>
  <c r="C40" i="3"/>
  <c r="F156" i="2" s="1"/>
  <c r="D28" i="3"/>
  <c r="B28" i="3"/>
  <c r="B14" i="3" l="1"/>
  <c r="M79" i="3"/>
  <c r="C43" i="3"/>
  <c r="E43" i="3"/>
  <c r="D43" i="3"/>
  <c r="I4" i="4"/>
  <c r="H5" i="4"/>
  <c r="H6" i="4" s="1"/>
  <c r="H7" i="4" s="1"/>
  <c r="O5" i="3"/>
  <c r="O6" i="3" s="1"/>
  <c r="O7" i="3" s="1"/>
  <c r="O8" i="3" s="1"/>
  <c r="O9" i="3" s="1"/>
  <c r="O10" i="3" s="1"/>
  <c r="O11" i="3" s="1"/>
  <c r="O12" i="3" s="1"/>
  <c r="O13" i="3" s="1"/>
  <c r="O14" i="3" s="1"/>
  <c r="O15" i="3" s="1"/>
  <c r="O16" i="3" s="1"/>
  <c r="O17" i="3" s="1"/>
  <c r="O18" i="3" s="1"/>
  <c r="O19" i="3" s="1"/>
  <c r="O20" i="3" s="1"/>
  <c r="O21" i="3" s="1"/>
  <c r="O22" i="3" s="1"/>
  <c r="O23" i="3" s="1"/>
  <c r="O24" i="3" s="1"/>
  <c r="O25" i="3" s="1"/>
  <c r="O26" i="3" s="1"/>
  <c r="O27" i="3" s="1"/>
  <c r="O28" i="3" s="1"/>
  <c r="O29" i="3" s="1"/>
  <c r="O30" i="3" s="1"/>
  <c r="O31" i="3" s="1"/>
  <c r="O32" i="3" s="1"/>
  <c r="O33" i="3" s="1"/>
  <c r="O34" i="3" s="1"/>
  <c r="O35" i="3" s="1"/>
  <c r="O36" i="3" s="1"/>
  <c r="O37" i="3" s="1"/>
  <c r="O38" i="3" s="1"/>
  <c r="O39" i="3" s="1"/>
  <c r="O40" i="3" s="1"/>
  <c r="O41" i="3" s="1"/>
  <c r="O42" i="3" s="1"/>
  <c r="O43" i="3" s="1"/>
  <c r="O44" i="3" s="1"/>
  <c r="O45" i="3" s="1"/>
  <c r="O46" i="3" s="1"/>
  <c r="O47" i="3" s="1"/>
  <c r="O48" i="3" s="1"/>
  <c r="O49" i="3" s="1"/>
  <c r="O50" i="3" s="1"/>
  <c r="O51" i="3" s="1"/>
  <c r="O52" i="3" s="1"/>
  <c r="O53" i="3" s="1"/>
  <c r="O54" i="3" s="1"/>
  <c r="O55" i="3" s="1"/>
  <c r="O56" i="3" s="1"/>
  <c r="O57" i="3" s="1"/>
  <c r="O58" i="3" s="1"/>
  <c r="O59" i="3" s="1"/>
  <c r="O60" i="3" s="1"/>
  <c r="O61" i="3" s="1"/>
  <c r="O62" i="3" s="1"/>
  <c r="O63" i="3" s="1"/>
  <c r="O64" i="3" s="1"/>
  <c r="O65" i="3" s="1"/>
  <c r="O66" i="3" s="1"/>
  <c r="O67" i="3" s="1"/>
  <c r="O68" i="3" s="1"/>
  <c r="O69" i="3" s="1"/>
  <c r="O70" i="3" s="1"/>
  <c r="O71" i="3" s="1"/>
  <c r="O72" i="3" s="1"/>
  <c r="O73" i="3" s="1"/>
  <c r="O74" i="3" s="1"/>
  <c r="B13" i="3"/>
  <c r="B8" i="3"/>
  <c r="B4" i="3"/>
  <c r="D173" i="2"/>
  <c r="C173" i="2"/>
  <c r="B11" i="3" s="1"/>
  <c r="B173" i="2"/>
  <c r="E76" i="2"/>
  <c r="B7" i="3" s="1"/>
  <c r="D76" i="2"/>
  <c r="C76" i="2"/>
  <c r="B5" i="3" s="1"/>
  <c r="B76" i="2"/>
  <c r="A28" i="3" s="1"/>
  <c r="E81" i="2" l="1"/>
  <c r="B12" i="3"/>
  <c r="G175" i="2"/>
  <c r="E258" i="2"/>
  <c r="P5" i="3"/>
  <c r="P74" i="3"/>
  <c r="M80" i="3"/>
  <c r="B10" i="3"/>
  <c r="B21" i="3" s="1"/>
  <c r="I5" i="4"/>
  <c r="H8" i="4"/>
  <c r="I7" i="4"/>
  <c r="I6" i="4"/>
  <c r="B6" i="3"/>
  <c r="P73" i="3"/>
  <c r="P70" i="3"/>
  <c r="P67" i="3"/>
  <c r="P64" i="3"/>
  <c r="P61" i="3"/>
  <c r="P58" i="3"/>
  <c r="P55" i="3"/>
  <c r="P52" i="3"/>
  <c r="P49" i="3"/>
  <c r="P46" i="3"/>
  <c r="P43" i="3"/>
  <c r="P40" i="3"/>
  <c r="P37" i="3"/>
  <c r="P34" i="3"/>
  <c r="P31" i="3"/>
  <c r="P28" i="3"/>
  <c r="P25" i="3"/>
  <c r="P22" i="3"/>
  <c r="P19" i="3"/>
  <c r="P16" i="3"/>
  <c r="P13" i="3"/>
  <c r="P10" i="3"/>
  <c r="P7" i="3"/>
  <c r="P4" i="3"/>
  <c r="P72" i="3"/>
  <c r="P69" i="3"/>
  <c r="P66" i="3"/>
  <c r="P63" i="3"/>
  <c r="P60" i="3"/>
  <c r="P57" i="3"/>
  <c r="P54" i="3"/>
  <c r="P51" i="3"/>
  <c r="P48" i="3"/>
  <c r="P45" i="3"/>
  <c r="P42" i="3"/>
  <c r="P39" i="3"/>
  <c r="P36" i="3"/>
  <c r="P33" i="3"/>
  <c r="P30" i="3"/>
  <c r="P27" i="3"/>
  <c r="P24" i="3"/>
  <c r="P21" i="3"/>
  <c r="P18" i="3"/>
  <c r="P15" i="3"/>
  <c r="P12" i="3"/>
  <c r="P9" i="3"/>
  <c r="P6" i="3"/>
  <c r="P71" i="3"/>
  <c r="P68" i="3"/>
  <c r="P65" i="3"/>
  <c r="P62" i="3"/>
  <c r="P59" i="3"/>
  <c r="P56" i="3"/>
  <c r="P53" i="3"/>
  <c r="P50" i="3"/>
  <c r="P47" i="3"/>
  <c r="P44" i="3"/>
  <c r="P41" i="3"/>
  <c r="P38" i="3"/>
  <c r="P35" i="3"/>
  <c r="P32" i="3"/>
  <c r="P29" i="3"/>
  <c r="P26" i="3"/>
  <c r="P23" i="3"/>
  <c r="P20" i="3"/>
  <c r="P17" i="3"/>
  <c r="P14" i="3"/>
  <c r="P11" i="3"/>
  <c r="P8" i="3"/>
  <c r="Q50" i="3" l="1"/>
  <c r="Q14" i="3"/>
  <c r="E259" i="2"/>
  <c r="E260" i="2"/>
  <c r="E261" i="2"/>
  <c r="Q26" i="3"/>
  <c r="Q62" i="3"/>
  <c r="Q38" i="3"/>
  <c r="F175" i="2"/>
  <c r="F177" i="2" s="1"/>
  <c r="Q11" i="3"/>
  <c r="Q47" i="3"/>
  <c r="Q15" i="3"/>
  <c r="Q51" i="3"/>
  <c r="Q16" i="3"/>
  <c r="Q23" i="3"/>
  <c r="Q59" i="3"/>
  <c r="Q35" i="3"/>
  <c r="Q71" i="3"/>
  <c r="Q27" i="3"/>
  <c r="Q39" i="3"/>
  <c r="Q63" i="3"/>
  <c r="Q28" i="3"/>
  <c r="Q4" i="3"/>
  <c r="Q5" i="3"/>
  <c r="Q9" i="3"/>
  <c r="Q21" i="3"/>
  <c r="Q33" i="3"/>
  <c r="Q45" i="3"/>
  <c r="Q57" i="3"/>
  <c r="Q69" i="3"/>
  <c r="Q8" i="3"/>
  <c r="Q20" i="3"/>
  <c r="Q32" i="3"/>
  <c r="Q44" i="3"/>
  <c r="Q56" i="3"/>
  <c r="Q68" i="3"/>
  <c r="Q12" i="3"/>
  <c r="Q24" i="3"/>
  <c r="Q36" i="3"/>
  <c r="Q48" i="3"/>
  <c r="Q10" i="3"/>
  <c r="Q22" i="3"/>
  <c r="Q34" i="3"/>
  <c r="Q60" i="3"/>
  <c r="Q72" i="3"/>
  <c r="Q13" i="3"/>
  <c r="Q46" i="3"/>
  <c r="Q58" i="3"/>
  <c r="Q70" i="3"/>
  <c r="Q25" i="3"/>
  <c r="Q37" i="3"/>
  <c r="Q49" i="3"/>
  <c r="Q61" i="3"/>
  <c r="Q73" i="3"/>
  <c r="Q40" i="3"/>
  <c r="Q52" i="3"/>
  <c r="Q64" i="3"/>
  <c r="P84" i="3"/>
  <c r="Q84" i="3" s="1"/>
  <c r="P96" i="3"/>
  <c r="Q96" i="3" s="1"/>
  <c r="P80" i="3"/>
  <c r="Q80" i="3" s="1"/>
  <c r="P88" i="3"/>
  <c r="Q88" i="3" s="1"/>
  <c r="Q74" i="3"/>
  <c r="P104" i="3"/>
  <c r="Q104" i="3" s="1"/>
  <c r="P100" i="3"/>
  <c r="Q100" i="3" s="1"/>
  <c r="P103" i="3"/>
  <c r="Q103" i="3" s="1"/>
  <c r="P81" i="3"/>
  <c r="Q81" i="3" s="1"/>
  <c r="P97" i="3"/>
  <c r="Q97" i="3" s="1"/>
  <c r="P82" i="3"/>
  <c r="Q82" i="3" s="1"/>
  <c r="P98" i="3"/>
  <c r="Q98" i="3" s="1"/>
  <c r="P87" i="3"/>
  <c r="Q87" i="3" s="1"/>
  <c r="P77" i="3"/>
  <c r="Q77" i="3" s="1"/>
  <c r="P78" i="3"/>
  <c r="Q78" i="3" s="1"/>
  <c r="P83" i="3"/>
  <c r="Q83" i="3" s="1"/>
  <c r="P76" i="3"/>
  <c r="Q76" i="3" s="1"/>
  <c r="P85" i="3"/>
  <c r="Q85" i="3" s="1"/>
  <c r="P101" i="3"/>
  <c r="Q101" i="3" s="1"/>
  <c r="P86" i="3"/>
  <c r="Q86" i="3" s="1"/>
  <c r="P102" i="3"/>
  <c r="Q102" i="3" s="1"/>
  <c r="P91" i="3"/>
  <c r="Q91" i="3" s="1"/>
  <c r="P93" i="3"/>
  <c r="Q93" i="3" s="1"/>
  <c r="P94" i="3"/>
  <c r="Q94" i="3" s="1"/>
  <c r="P99" i="3"/>
  <c r="Q99" i="3" s="1"/>
  <c r="P92" i="3"/>
  <c r="Q92" i="3" s="1"/>
  <c r="P89" i="3"/>
  <c r="Q89" i="3" s="1"/>
  <c r="P75" i="3"/>
  <c r="Q75" i="3" s="1"/>
  <c r="P90" i="3"/>
  <c r="Q90" i="3" s="1"/>
  <c r="P79" i="3"/>
  <c r="Q79" i="3" s="1"/>
  <c r="P95" i="3"/>
  <c r="Q95" i="3" s="1"/>
  <c r="M81" i="3"/>
  <c r="B20" i="3"/>
  <c r="Q17" i="3"/>
  <c r="Q29" i="3"/>
  <c r="Q41" i="3"/>
  <c r="Q53" i="3"/>
  <c r="Q65" i="3"/>
  <c r="Q6" i="3"/>
  <c r="Q18" i="3"/>
  <c r="Q30" i="3"/>
  <c r="Q42" i="3"/>
  <c r="Q54" i="3"/>
  <c r="Q66" i="3"/>
  <c r="Q7" i="3"/>
  <c r="Q19" i="3"/>
  <c r="Q31" i="3"/>
  <c r="Q43" i="3"/>
  <c r="Q55" i="3"/>
  <c r="Q67" i="3"/>
  <c r="H9" i="4"/>
  <c r="I8" i="4"/>
  <c r="F176" i="2" l="1"/>
  <c r="F258" i="2" s="1"/>
  <c r="F261" i="2" s="1"/>
  <c r="F259" i="2"/>
  <c r="F260" i="2" s="1"/>
  <c r="M82" i="3"/>
  <c r="H10" i="4"/>
  <c r="I9" i="4"/>
  <c r="M83" i="3" l="1"/>
  <c r="H11" i="4"/>
  <c r="I10" i="4"/>
  <c r="M84" i="3" l="1"/>
  <c r="H12" i="4"/>
  <c r="I11" i="4"/>
  <c r="M85" i="3" l="1"/>
  <c r="H13" i="4"/>
  <c r="I12" i="4"/>
  <c r="M86" i="3" l="1"/>
  <c r="H14" i="4"/>
  <c r="I13" i="4"/>
  <c r="M87" i="3" l="1"/>
  <c r="H15" i="4"/>
  <c r="I14" i="4"/>
  <c r="M88" i="3" l="1"/>
  <c r="H16" i="4"/>
  <c r="I15" i="4"/>
  <c r="M89" i="3" l="1"/>
  <c r="H17" i="4"/>
  <c r="I16" i="4"/>
  <c r="M90" i="3" l="1"/>
  <c r="H18" i="4"/>
  <c r="I17" i="4"/>
  <c r="M91" i="3" l="1"/>
  <c r="H19" i="4"/>
  <c r="I18" i="4"/>
  <c r="M92" i="3" l="1"/>
  <c r="H20" i="4"/>
  <c r="I19" i="4"/>
  <c r="M93" i="3" l="1"/>
  <c r="H21" i="4"/>
  <c r="I20" i="4"/>
  <c r="M94" i="3" l="1"/>
  <c r="H22" i="4"/>
  <c r="I21" i="4"/>
  <c r="M95" i="3" l="1"/>
  <c r="H23" i="4"/>
  <c r="I22" i="4"/>
  <c r="H24" i="4" l="1"/>
  <c r="I23" i="4"/>
  <c r="H25" i="4" l="1"/>
  <c r="I24" i="4"/>
  <c r="H26" i="4" l="1"/>
  <c r="I25" i="4"/>
  <c r="H27" i="4" l="1"/>
  <c r="I26" i="4"/>
  <c r="H28" i="4" l="1"/>
  <c r="I27" i="4"/>
  <c r="H29" i="4" l="1"/>
  <c r="I28" i="4"/>
  <c r="H30" i="4" l="1"/>
  <c r="I29" i="4"/>
  <c r="H31" i="4" l="1"/>
  <c r="I30" i="4"/>
  <c r="H32" i="4" l="1"/>
  <c r="I31" i="4"/>
  <c r="H33" i="4" l="1"/>
  <c r="I32" i="4"/>
  <c r="H34" i="4" l="1"/>
  <c r="I33" i="4"/>
  <c r="H35" i="4" l="1"/>
  <c r="I34" i="4"/>
  <c r="H36" i="4" l="1"/>
  <c r="I35" i="4"/>
  <c r="H37" i="4" l="1"/>
  <c r="I36" i="4"/>
  <c r="H38" i="4" l="1"/>
  <c r="I37" i="4"/>
  <c r="H39" i="4" l="1"/>
  <c r="I38" i="4"/>
  <c r="H40" i="4" l="1"/>
  <c r="I39" i="4"/>
  <c r="H41" i="4" l="1"/>
  <c r="I40" i="4"/>
  <c r="H42" i="4" l="1"/>
  <c r="I41" i="4"/>
  <c r="H43" i="4" l="1"/>
  <c r="I42" i="4"/>
  <c r="H44" i="4" l="1"/>
  <c r="I43" i="4"/>
  <c r="H45" i="4" l="1"/>
  <c r="I44" i="4"/>
  <c r="H46" i="4" l="1"/>
  <c r="I45" i="4"/>
  <c r="H47" i="4" l="1"/>
  <c r="I46" i="4"/>
  <c r="H48" i="4" l="1"/>
  <c r="I47" i="4"/>
  <c r="H49" i="4" l="1"/>
  <c r="I48" i="4"/>
  <c r="H50" i="4" l="1"/>
  <c r="I49" i="4"/>
  <c r="H51" i="4" l="1"/>
  <c r="I50" i="4"/>
  <c r="H52" i="4" l="1"/>
  <c r="I51" i="4"/>
  <c r="H53" i="4" l="1"/>
  <c r="I52" i="4"/>
  <c r="H54" i="4" l="1"/>
  <c r="I53" i="4"/>
  <c r="H55" i="4" l="1"/>
  <c r="I54" i="4"/>
  <c r="H56" i="4" l="1"/>
  <c r="I55" i="4"/>
  <c r="H57" i="4" l="1"/>
  <c r="I56" i="4"/>
  <c r="H58" i="4" l="1"/>
  <c r="I57" i="4"/>
  <c r="H59" i="4" l="1"/>
  <c r="I58" i="4"/>
  <c r="H60" i="4" l="1"/>
  <c r="I59" i="4"/>
  <c r="H61" i="4" l="1"/>
  <c r="I60" i="4"/>
  <c r="H62" i="4" l="1"/>
  <c r="I61" i="4"/>
  <c r="H63" i="4" l="1"/>
  <c r="I62" i="4"/>
  <c r="H64" i="4" l="1"/>
  <c r="I63" i="4"/>
  <c r="H65" i="4" l="1"/>
  <c r="I64" i="4"/>
  <c r="H66" i="4" l="1"/>
  <c r="I65" i="4"/>
  <c r="H67" i="4" l="1"/>
  <c r="I66" i="4"/>
  <c r="H68" i="4" l="1"/>
  <c r="I67" i="4"/>
  <c r="H69" i="4" l="1"/>
  <c r="I68" i="4"/>
  <c r="H70" i="4" l="1"/>
  <c r="I69" i="4"/>
  <c r="H71" i="4" l="1"/>
  <c r="I70" i="4"/>
  <c r="H72" i="4" l="1"/>
  <c r="I71" i="4"/>
  <c r="H73" i="4" l="1"/>
  <c r="I72" i="4"/>
  <c r="H74" i="4" l="1"/>
  <c r="I73" i="4"/>
  <c r="H75" i="4" l="1"/>
  <c r="I74" i="4"/>
  <c r="H76" i="4" l="1"/>
  <c r="I75" i="4"/>
  <c r="H77" i="4" l="1"/>
  <c r="I76" i="4"/>
  <c r="H78" i="4" l="1"/>
  <c r="I77" i="4"/>
  <c r="H79" i="4" l="1"/>
  <c r="I78" i="4"/>
  <c r="H80" i="4" l="1"/>
  <c r="I79" i="4"/>
  <c r="H81" i="4" l="1"/>
  <c r="I80" i="4"/>
  <c r="H82" i="4" l="1"/>
  <c r="I81" i="4"/>
  <c r="H83" i="4" l="1"/>
  <c r="I82" i="4"/>
  <c r="H84" i="4" l="1"/>
  <c r="I83" i="4"/>
  <c r="H85" i="4" l="1"/>
  <c r="I84" i="4"/>
  <c r="H86" i="4" l="1"/>
  <c r="I85" i="4"/>
  <c r="H87" i="4" l="1"/>
  <c r="I86" i="4"/>
  <c r="H88" i="4" l="1"/>
  <c r="I87" i="4"/>
  <c r="H89" i="4" l="1"/>
  <c r="I88" i="4"/>
  <c r="H90" i="4" l="1"/>
  <c r="I89" i="4"/>
  <c r="H91" i="4" l="1"/>
  <c r="I90" i="4"/>
  <c r="H92" i="4" l="1"/>
  <c r="I91" i="4"/>
  <c r="H93" i="4" l="1"/>
  <c r="I92" i="4"/>
  <c r="H94" i="4" l="1"/>
  <c r="I93" i="4"/>
  <c r="H95" i="4" l="1"/>
  <c r="I94" i="4"/>
  <c r="H96" i="4" l="1"/>
  <c r="I95" i="4"/>
  <c r="H97" i="4" l="1"/>
  <c r="I96" i="4"/>
  <c r="H98" i="4" l="1"/>
  <c r="I97" i="4"/>
  <c r="H99" i="4" l="1"/>
  <c r="I98" i="4"/>
  <c r="H100" i="4" l="1"/>
  <c r="I99" i="4"/>
  <c r="H101" i="4" l="1"/>
  <c r="I100" i="4"/>
  <c r="H102" i="4" l="1"/>
  <c r="I102" i="4" s="1"/>
  <c r="I101" i="4"/>
  <c r="E91" i="2" l="1"/>
  <c r="C258" i="2" s="1"/>
  <c r="H258" i="2" s="1"/>
  <c r="B18" i="3"/>
  <c r="B19" i="3" s="1"/>
  <c r="F48" i="3" l="1"/>
  <c r="F49" i="3"/>
  <c r="S50" i="3"/>
  <c r="R57" i="3"/>
  <c r="R35" i="3"/>
  <c r="R14" i="3"/>
  <c r="S14" i="3"/>
  <c r="R50" i="3"/>
  <c r="R36" i="3"/>
  <c r="R26" i="3"/>
  <c r="R32" i="3"/>
  <c r="R7" i="3"/>
  <c r="R25" i="3"/>
  <c r="R62" i="3"/>
  <c r="R41" i="3"/>
  <c r="R83" i="3"/>
  <c r="R64" i="3"/>
  <c r="R24" i="3"/>
  <c r="R28" i="3"/>
  <c r="S26" i="3"/>
  <c r="R73" i="3"/>
  <c r="R31" i="3"/>
  <c r="R93" i="3"/>
  <c r="R100" i="3"/>
  <c r="S70" i="3"/>
  <c r="S32" i="3"/>
  <c r="S35" i="3"/>
  <c r="R90" i="3"/>
  <c r="R46" i="3"/>
  <c r="R54" i="3"/>
  <c r="R42" i="3"/>
  <c r="R92" i="3"/>
  <c r="R97" i="3"/>
  <c r="R58" i="3"/>
  <c r="R20" i="3"/>
  <c r="S59" i="3"/>
  <c r="R72" i="3"/>
  <c r="R49" i="3"/>
  <c r="S30" i="3"/>
  <c r="S41" i="3"/>
  <c r="S21" i="3"/>
  <c r="S19" i="3"/>
  <c r="S34" i="3"/>
  <c r="S22" i="3"/>
  <c r="S24" i="3"/>
  <c r="S5" i="3"/>
  <c r="S9" i="3"/>
  <c r="S54" i="3"/>
  <c r="S20" i="3"/>
  <c r="S67" i="3"/>
  <c r="S17" i="3"/>
  <c r="S16" i="3"/>
  <c r="S42" i="3"/>
  <c r="R94" i="3"/>
  <c r="R69" i="3"/>
  <c r="R8" i="3"/>
  <c r="R78" i="3"/>
  <c r="R9" i="3"/>
  <c r="R87" i="3"/>
  <c r="R67" i="3"/>
  <c r="R17" i="3"/>
  <c r="R40" i="3"/>
  <c r="R5" i="3"/>
  <c r="R38" i="3"/>
  <c r="S15" i="3"/>
  <c r="S44" i="3"/>
  <c r="S7" i="3"/>
  <c r="S75" i="3"/>
  <c r="S33" i="3"/>
  <c r="S48" i="3"/>
  <c r="R81" i="3"/>
  <c r="R86" i="3"/>
  <c r="R22" i="3"/>
  <c r="R11" i="3"/>
  <c r="S47" i="3"/>
  <c r="R82" i="3"/>
  <c r="R12" i="3"/>
  <c r="R30" i="3"/>
  <c r="R19" i="3"/>
  <c r="R77" i="3"/>
  <c r="R39" i="3"/>
  <c r="S66" i="3"/>
  <c r="S11" i="3"/>
  <c r="S65" i="3"/>
  <c r="S69" i="3"/>
  <c r="S63" i="3"/>
  <c r="R53" i="3"/>
  <c r="S36" i="3"/>
  <c r="R43" i="3"/>
  <c r="R75" i="3"/>
  <c r="R98" i="3"/>
  <c r="R61" i="3"/>
  <c r="R44" i="3"/>
  <c r="R71" i="3"/>
  <c r="B22" i="3"/>
  <c r="R34" i="3"/>
  <c r="R29" i="3"/>
  <c r="R101" i="3"/>
  <c r="R80" i="3"/>
  <c r="S72" i="3"/>
  <c r="S57" i="3"/>
  <c r="R51" i="3"/>
  <c r="R99" i="3"/>
  <c r="R56" i="3"/>
  <c r="R6" i="3"/>
  <c r="R65" i="3"/>
  <c r="R91" i="3"/>
  <c r="R96" i="3"/>
  <c r="R60" i="3"/>
  <c r="R45" i="3"/>
  <c r="R15" i="3"/>
  <c r="R52" i="3"/>
  <c r="R47" i="3"/>
  <c r="S28" i="3"/>
  <c r="S74" i="3"/>
  <c r="S8" i="3"/>
  <c r="S55" i="3"/>
  <c r="S51" i="3"/>
  <c r="S68" i="3"/>
  <c r="S60" i="3"/>
  <c r="S39" i="3"/>
  <c r="S37" i="3"/>
  <c r="S23" i="3"/>
  <c r="S56" i="3"/>
  <c r="S12" i="3"/>
  <c r="S53" i="3"/>
  <c r="S25" i="3"/>
  <c r="R104" i="3"/>
  <c r="R66" i="3"/>
  <c r="R13" i="3"/>
  <c r="R16" i="3"/>
  <c r="R76" i="3"/>
  <c r="R95" i="3"/>
  <c r="S10" i="3"/>
  <c r="R55" i="3"/>
  <c r="R4" i="3"/>
  <c r="R85" i="3"/>
  <c r="R48" i="3"/>
  <c r="S38" i="3"/>
  <c r="S4" i="3"/>
  <c r="R70" i="3"/>
  <c r="S46" i="3"/>
  <c r="S29" i="3"/>
  <c r="S73" i="3"/>
  <c r="S40" i="3"/>
  <c r="S64" i="3"/>
  <c r="S61" i="3"/>
  <c r="S27" i="3"/>
  <c r="R18" i="3"/>
  <c r="R88" i="3"/>
  <c r="R21" i="3"/>
  <c r="R74" i="3"/>
  <c r="B23" i="3" s="1"/>
  <c r="R89" i="3"/>
  <c r="S49" i="3"/>
  <c r="R63" i="3"/>
  <c r="R23" i="3"/>
  <c r="R79" i="3"/>
  <c r="R68" i="3"/>
  <c r="R10" i="3"/>
  <c r="S58" i="3"/>
  <c r="S43" i="3"/>
  <c r="S18" i="3"/>
  <c r="R27" i="3"/>
  <c r="R102" i="3"/>
  <c r="R33" i="3"/>
  <c r="R103" i="3"/>
  <c r="S52" i="3"/>
  <c r="S71" i="3"/>
  <c r="R84" i="3"/>
  <c r="R37" i="3"/>
  <c r="R59" i="3"/>
  <c r="S13" i="3"/>
  <c r="S45" i="3"/>
  <c r="S62" i="3"/>
  <c r="S31" i="3"/>
  <c r="S6" i="3"/>
  <c r="C259" i="2"/>
  <c r="C260" i="2"/>
  <c r="H260" i="2" s="1"/>
  <c r="F264" i="2" s="1"/>
  <c r="C261" i="2"/>
  <c r="D269" i="2"/>
  <c r="H261" i="2" l="1"/>
  <c r="G269" i="2" s="1"/>
  <c r="H259" i="2"/>
  <c r="D264" i="2" s="1"/>
</calcChain>
</file>

<file path=xl/comments1.xml><?xml version="1.0" encoding="utf-8"?>
<comments xmlns="http://schemas.openxmlformats.org/spreadsheetml/2006/main">
  <authors>
    <author>Nicla</author>
  </authors>
  <commentList>
    <comment ref="F33" authorId="0" guid="{1C0F5936-5622-44FA-80AE-40CE68B5F787}" shapeId="0">
      <text>
        <r>
          <rPr>
            <b/>
            <sz val="9"/>
            <color indexed="81"/>
            <rFont val="Tahoma"/>
            <family val="2"/>
          </rPr>
          <t>Davide Cicchini:</t>
        </r>
        <r>
          <rPr>
            <sz val="9"/>
            <color indexed="81"/>
            <rFont val="Tahoma"/>
            <family val="2"/>
          </rPr>
          <t xml:space="preserve">
Inserire 0 oppure valori negativi per le costruzioni sul mare.</t>
        </r>
      </text>
    </comment>
  </commentList>
</comments>
</file>

<file path=xl/sharedStrings.xml><?xml version="1.0" encoding="utf-8"?>
<sst xmlns="http://schemas.openxmlformats.org/spreadsheetml/2006/main" count="434" uniqueCount="201">
  <si>
    <r>
      <t>kN/m</t>
    </r>
    <r>
      <rPr>
        <b/>
        <vertAlign val="superscript"/>
        <sz val="11"/>
        <color theme="1"/>
        <rFont val="Times New Roman"/>
        <family val="1"/>
      </rPr>
      <t>2</t>
    </r>
  </si>
  <si>
    <t>p</t>
  </si>
  <si>
    <t>m</t>
  </si>
  <si>
    <t>pressione cinetica di riferimento</t>
  </si>
  <si>
    <r>
      <t>a</t>
    </r>
    <r>
      <rPr>
        <vertAlign val="subscript"/>
        <sz val="11"/>
        <color theme="1"/>
        <rFont val="Times New Roman"/>
        <family val="1"/>
      </rPr>
      <t>s</t>
    </r>
  </si>
  <si>
    <t>1/s</t>
  </si>
  <si>
    <r>
      <t>k</t>
    </r>
    <r>
      <rPr>
        <vertAlign val="subscript"/>
        <sz val="11"/>
        <color theme="1"/>
        <rFont val="Times New Roman"/>
        <family val="1"/>
      </rPr>
      <t>a</t>
    </r>
  </si>
  <si>
    <r>
      <t>a</t>
    </r>
    <r>
      <rPr>
        <vertAlign val="subscript"/>
        <sz val="11"/>
        <color theme="1"/>
        <rFont val="Times New Roman"/>
        <family val="1"/>
      </rPr>
      <t>0</t>
    </r>
  </si>
  <si>
    <t>z</t>
  </si>
  <si>
    <t>m/s</t>
  </si>
  <si>
    <r>
      <t>v</t>
    </r>
    <r>
      <rPr>
        <vertAlign val="subscript"/>
        <sz val="11"/>
        <color theme="1"/>
        <rFont val="Times New Roman"/>
        <family val="1"/>
      </rPr>
      <t>b,0</t>
    </r>
  </si>
  <si>
    <t>Altezza dell'edificio</t>
  </si>
  <si>
    <r>
      <t>c</t>
    </r>
    <r>
      <rPr>
        <b/>
        <vertAlign val="subscript"/>
        <sz val="11"/>
        <color theme="1"/>
        <rFont val="Times New Roman"/>
        <family val="1"/>
      </rPr>
      <t>e,min</t>
    </r>
  </si>
  <si>
    <r>
      <t>c</t>
    </r>
    <r>
      <rPr>
        <b/>
        <vertAlign val="subscript"/>
        <sz val="11"/>
        <color theme="1"/>
        <rFont val="Times New Roman"/>
        <family val="1"/>
      </rPr>
      <t>e,max</t>
    </r>
  </si>
  <si>
    <t>input</t>
  </si>
  <si>
    <t>Quota di riferimento</t>
  </si>
  <si>
    <t>Quota del fabbricato</t>
  </si>
  <si>
    <t>velocità di riferimento del vento</t>
  </si>
  <si>
    <t>velocità di riferimento del vento di calcolo</t>
  </si>
  <si>
    <r>
      <t>v</t>
    </r>
    <r>
      <rPr>
        <b/>
        <vertAlign val="subscript"/>
        <sz val="11"/>
        <color theme="1"/>
        <rFont val="Times New Roman"/>
        <family val="1"/>
      </rPr>
      <t>b</t>
    </r>
  </si>
  <si>
    <r>
      <t>q</t>
    </r>
    <r>
      <rPr>
        <b/>
        <vertAlign val="subscript"/>
        <sz val="11"/>
        <color theme="1"/>
        <rFont val="Times New Roman"/>
        <family val="1"/>
      </rPr>
      <t>b</t>
    </r>
  </si>
  <si>
    <r>
      <t>N/m</t>
    </r>
    <r>
      <rPr>
        <b/>
        <sz val="11"/>
        <color theme="1"/>
        <rFont val="Calibri"/>
        <family val="2"/>
      </rPr>
      <t>²</t>
    </r>
  </si>
  <si>
    <r>
      <t>c</t>
    </r>
    <r>
      <rPr>
        <vertAlign val="subscript"/>
        <sz val="11"/>
        <color theme="1"/>
        <rFont val="Times New Roman"/>
        <family val="1"/>
      </rPr>
      <t>t</t>
    </r>
  </si>
  <si>
    <r>
      <t>k</t>
    </r>
    <r>
      <rPr>
        <vertAlign val="subscript"/>
        <sz val="11"/>
        <color theme="1"/>
        <rFont val="Times New Roman"/>
        <family val="1"/>
      </rPr>
      <t>r</t>
    </r>
  </si>
  <si>
    <r>
      <t>z</t>
    </r>
    <r>
      <rPr>
        <vertAlign val="subscript"/>
        <sz val="11"/>
        <color theme="1"/>
        <rFont val="Times New Roman"/>
        <family val="1"/>
      </rPr>
      <t>0</t>
    </r>
  </si>
  <si>
    <r>
      <t>z</t>
    </r>
    <r>
      <rPr>
        <vertAlign val="subscript"/>
        <sz val="11"/>
        <color theme="1"/>
        <rFont val="Times New Roman"/>
        <family val="1"/>
      </rPr>
      <t>min</t>
    </r>
  </si>
  <si>
    <r>
      <t>c</t>
    </r>
    <r>
      <rPr>
        <vertAlign val="subscript"/>
        <sz val="11"/>
        <color theme="1"/>
        <rFont val="Times New Roman"/>
        <family val="1"/>
      </rPr>
      <t>d</t>
    </r>
  </si>
  <si>
    <r>
      <t>c</t>
    </r>
    <r>
      <rPr>
        <vertAlign val="subscript"/>
        <sz val="11"/>
        <color theme="1"/>
        <rFont val="Times New Roman"/>
        <family val="1"/>
      </rPr>
      <t>p</t>
    </r>
  </si>
  <si>
    <t>Coefficiente di esposizione minimo</t>
  </si>
  <si>
    <t>Coefficiente di esposizione massimo</t>
  </si>
  <si>
    <t>Pressione del vento minima</t>
  </si>
  <si>
    <t>Pressione del vento massima</t>
  </si>
  <si>
    <t>output</t>
  </si>
  <si>
    <r>
      <rPr>
        <sz val="14"/>
        <color theme="1"/>
        <rFont val="Times New Roman"/>
        <family val="1"/>
      </rPr>
      <t>c</t>
    </r>
    <r>
      <rPr>
        <sz val="9"/>
        <color theme="1"/>
        <rFont val="Times New Roman"/>
        <family val="1"/>
      </rPr>
      <t>e</t>
    </r>
  </si>
  <si>
    <r>
      <t>P [kN/m</t>
    </r>
    <r>
      <rPr>
        <sz val="12"/>
        <color theme="1"/>
        <rFont val="Calibri"/>
        <family val="2"/>
      </rPr>
      <t>²</t>
    </r>
    <r>
      <rPr>
        <sz val="12"/>
        <color theme="1"/>
        <rFont val="Times New Roman"/>
        <family val="1"/>
      </rPr>
      <t>]</t>
    </r>
  </si>
  <si>
    <t>Descrizione</t>
  </si>
  <si>
    <r>
      <t>v</t>
    </r>
    <r>
      <rPr>
        <vertAlign val="subscript"/>
        <sz val="10"/>
        <color indexed="8"/>
        <rFont val="Arial"/>
        <family val="2"/>
      </rPr>
      <t>b,0</t>
    </r>
    <r>
      <rPr>
        <sz val="10"/>
        <color indexed="8"/>
        <rFont val="Arial"/>
        <family val="2"/>
      </rPr>
      <t xml:space="preserve"> [m/s]</t>
    </r>
  </si>
  <si>
    <r>
      <t>a</t>
    </r>
    <r>
      <rPr>
        <vertAlign val="subscript"/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[m]</t>
    </r>
  </si>
  <si>
    <r>
      <t>k</t>
    </r>
    <r>
      <rPr>
        <vertAlign val="subscript"/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[1/s]</t>
    </r>
  </si>
  <si>
    <t>Zona</t>
  </si>
  <si>
    <t>1) Valle d’Aosta, Piemonte, Lombardia, Trentino Alto Adige, Veneto, Friuli Venezia Giulia (con l’eccezione della provincia di Trieste)</t>
  </si>
  <si>
    <t>2) Emilia Romagna</t>
  </si>
  <si>
    <t>3) Toscana, Marche, Umbria, Lazio, Abruzzo, Molise, Puglia, Campania, Basilicata, Calabria (esclusa la provincia di Reggio Calabria)</t>
  </si>
  <si>
    <t>4) Sicilia e provincia di Reggio Calabria</t>
  </si>
  <si>
    <t>5) Sardegna (zona a oriente della retta congiungente Capo Teulada con l’Isola di Maddalena)</t>
  </si>
  <si>
    <t>6) Sardegna (zona a occidente della retta congiungente Capo Teulada con l’Isola di Maddalena)</t>
  </si>
  <si>
    <t>7) Liguria</t>
  </si>
  <si>
    <t>8) Provincia di Trieste</t>
  </si>
  <si>
    <t>9) Isole (con l’eccezione di Sicilia e Sardegna) e mare aperto</t>
  </si>
  <si>
    <t>Classe di rugosità</t>
  </si>
  <si>
    <t>A) Aree urbane in cui almeno il 15% della superficie sia coperto da edifici la cui altezza media superi i 15m</t>
  </si>
  <si>
    <t>A</t>
  </si>
  <si>
    <t>B) Aree urbane (non di classe A), suburbane, industriali e boschive</t>
  </si>
  <si>
    <t>B</t>
  </si>
  <si>
    <t>C) Aree con ostacoli diffusi (alberi, case, muri, recinzioni,....); aree con rugosità non riconducibile alle classi A, B, D</t>
  </si>
  <si>
    <t>C</t>
  </si>
  <si>
    <t>D) Aree prive di ostacoli (aperta campagna, aeroporti, aree agricole, pascoli, zone paludose o sabbiose, superfici innevate o ghiacciate, mare, laghi,....)</t>
  </si>
  <si>
    <t>D</t>
  </si>
  <si>
    <t>Categoria di esposizione del sito</t>
  </si>
  <si>
    <r>
      <t>k</t>
    </r>
    <r>
      <rPr>
        <vertAlign val="subscript"/>
        <sz val="10"/>
        <color indexed="8"/>
        <rFont val="Arial"/>
        <family val="2"/>
      </rPr>
      <t>r</t>
    </r>
  </si>
  <si>
    <r>
      <t>z</t>
    </r>
    <r>
      <rPr>
        <vertAlign val="subscript"/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[m]</t>
    </r>
  </si>
  <si>
    <r>
      <t>z</t>
    </r>
    <r>
      <rPr>
        <vertAlign val="subscript"/>
        <sz val="10"/>
        <color indexed="8"/>
        <rFont val="Arial"/>
        <family val="2"/>
      </rPr>
      <t>min</t>
    </r>
    <r>
      <rPr>
        <sz val="10"/>
        <color indexed="8"/>
        <rFont val="Arial"/>
        <family val="2"/>
      </rPr>
      <t xml:space="preserve"> [m]</t>
    </r>
  </si>
  <si>
    <t>I</t>
  </si>
  <si>
    <t>II</t>
  </si>
  <si>
    <t>III</t>
  </si>
  <si>
    <t>IV</t>
  </si>
  <si>
    <t>V</t>
  </si>
  <si>
    <r>
      <t>v</t>
    </r>
    <r>
      <rPr>
        <vertAlign val="subscript"/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 xml:space="preserve"> = v</t>
    </r>
    <r>
      <rPr>
        <vertAlign val="subscript"/>
        <sz val="10"/>
        <color indexed="8"/>
        <rFont val="Arial"/>
        <family val="2"/>
      </rPr>
      <t>b,0</t>
    </r>
    <r>
      <rPr>
        <sz val="10"/>
        <color indexed="8"/>
        <rFont val="Arial"/>
        <family val="2"/>
      </rPr>
      <t xml:space="preserve">      per a</t>
    </r>
    <r>
      <rPr>
        <vertAlign val="subscript"/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Calibri"/>
        <family val="2"/>
      </rPr>
      <t>≤</t>
    </r>
    <r>
      <rPr>
        <sz val="10"/>
        <color indexed="8"/>
        <rFont val="Arial"/>
        <family val="2"/>
      </rPr>
      <t xml:space="preserve"> a</t>
    </r>
    <r>
      <rPr>
        <vertAlign val="subscript"/>
        <sz val="10"/>
        <color indexed="8"/>
        <rFont val="Arial"/>
        <family val="2"/>
      </rPr>
      <t>0</t>
    </r>
  </si>
  <si>
    <r>
      <t>v</t>
    </r>
    <r>
      <rPr>
        <vertAlign val="subscript"/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 xml:space="preserve"> = v</t>
    </r>
    <r>
      <rPr>
        <vertAlign val="subscript"/>
        <sz val="10"/>
        <color indexed="8"/>
        <rFont val="Arial"/>
        <family val="2"/>
      </rPr>
      <t>b,0</t>
    </r>
    <r>
      <rPr>
        <sz val="10"/>
        <color indexed="8"/>
        <rFont val="Arial"/>
        <family val="2"/>
      </rPr>
      <t xml:space="preserve"> + k</t>
    </r>
    <r>
      <rPr>
        <vertAlign val="subscript"/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(a</t>
    </r>
    <r>
      <rPr>
        <vertAlign val="subscript"/>
        <sz val="10"/>
        <color indexed="8"/>
        <rFont val="Arial"/>
        <family val="2"/>
      </rPr>
      <t xml:space="preserve">s </t>
    </r>
    <r>
      <rPr>
        <sz val="10"/>
        <color indexed="8"/>
        <rFont val="Arial"/>
        <family val="2"/>
      </rPr>
      <t>- a</t>
    </r>
    <r>
      <rPr>
        <vertAlign val="subscript"/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)     per a</t>
    </r>
    <r>
      <rPr>
        <vertAlign val="subscript"/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&lt; a</t>
    </r>
    <r>
      <rPr>
        <vertAlign val="subscript"/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Calibri"/>
        <family val="2"/>
      </rPr>
      <t>≤</t>
    </r>
    <r>
      <rPr>
        <sz val="10"/>
        <color indexed="8"/>
        <rFont val="Arial"/>
        <family val="2"/>
      </rPr>
      <t xml:space="preserve"> 1500 m</t>
    </r>
  </si>
  <si>
    <r>
      <t>p (pressione del vento [N/mq</t>
    </r>
    <r>
      <rPr>
        <sz val="10"/>
        <color indexed="8"/>
        <rFont val="Arial"/>
        <family val="2"/>
      </rPr>
      <t>]) = q</t>
    </r>
    <r>
      <rPr>
        <vertAlign val="subscript"/>
        <sz val="10"/>
        <color indexed="8"/>
        <rFont val="Arial"/>
        <family val="2"/>
      </rPr>
      <t>b∙</t>
    </r>
    <r>
      <rPr>
        <sz val="10"/>
        <color indexed="8"/>
        <rFont val="Arial"/>
        <family val="2"/>
      </rPr>
      <t>c</t>
    </r>
    <r>
      <rPr>
        <vertAlign val="subscript"/>
        <sz val="10"/>
        <color indexed="8"/>
        <rFont val="Arial"/>
        <family val="2"/>
      </rPr>
      <t>e∙</t>
    </r>
    <r>
      <rPr>
        <sz val="10"/>
        <color indexed="8"/>
        <rFont val="Arial"/>
        <family val="2"/>
      </rPr>
      <t>c</t>
    </r>
    <r>
      <rPr>
        <vertAlign val="subscript"/>
        <sz val="10"/>
        <color indexed="8"/>
        <rFont val="Arial"/>
        <family val="2"/>
      </rPr>
      <t>p∙</t>
    </r>
    <r>
      <rPr>
        <sz val="10"/>
        <color indexed="8"/>
        <rFont val="Arial"/>
        <family val="2"/>
      </rPr>
      <t>c</t>
    </r>
    <r>
      <rPr>
        <vertAlign val="subscript"/>
        <sz val="10"/>
        <color indexed="8"/>
        <rFont val="Arial"/>
        <family val="2"/>
      </rPr>
      <t>d</t>
    </r>
  </si>
  <si>
    <r>
      <t>q</t>
    </r>
    <r>
      <rPr>
        <vertAlign val="subscript"/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 xml:space="preserve"> (pressione cinetica di riferimento [N/mq</t>
    </r>
    <r>
      <rPr>
        <sz val="10"/>
        <color indexed="8"/>
        <rFont val="Arial"/>
        <family val="2"/>
      </rPr>
      <t>])</t>
    </r>
  </si>
  <si>
    <r>
      <t>c</t>
    </r>
    <r>
      <rPr>
        <vertAlign val="subscript"/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(coefficiente di esposizione)</t>
    </r>
  </si>
  <si>
    <r>
      <t>c</t>
    </r>
    <r>
      <rPr>
        <vertAlign val="subscript"/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(coefficiente di forma)</t>
    </r>
  </si>
  <si>
    <r>
      <t>c</t>
    </r>
    <r>
      <rPr>
        <vertAlign val="subscript"/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(coefficiente dinamico)</t>
    </r>
  </si>
  <si>
    <t xml:space="preserve">E' il coefficiente di forma (o coefficiente aerodinamico), funzione della tipologia e della geometria della costruzione e del suo orientamento rispetto alla direzione del vento. Il suo valore può essere ricavato da dati suffragati da opportuna documentazione o da prove sperimentali in galleria del vento.                                                                 </t>
  </si>
  <si>
    <r>
      <t>q</t>
    </r>
    <r>
      <rPr>
        <vertAlign val="subscript"/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 xml:space="preserve"> = 1/2</t>
    </r>
    <r>
      <rPr>
        <sz val="10"/>
        <color indexed="8"/>
        <rFont val="Calibri"/>
        <family val="2"/>
      </rPr>
      <t>∙</t>
    </r>
    <r>
      <rPr>
        <sz val="10"/>
        <color indexed="8"/>
        <rFont val="Symbol"/>
        <family val="1"/>
        <charset val="2"/>
      </rPr>
      <t>r</t>
    </r>
    <r>
      <rPr>
        <sz val="10"/>
        <color indexed="8"/>
        <rFont val="Calibri"/>
        <family val="2"/>
      </rPr>
      <t>∙</t>
    </r>
    <r>
      <rPr>
        <sz val="10"/>
        <color indexed="8"/>
        <rFont val="Arial"/>
        <family val="2"/>
      </rPr>
      <t>v</t>
    </r>
    <r>
      <rPr>
        <vertAlign val="subscript"/>
        <sz val="10"/>
        <color indexed="8"/>
        <rFont val="Arial"/>
        <family val="2"/>
      </rPr>
      <t>b</t>
    </r>
    <r>
      <rPr>
        <vertAlign val="superscript"/>
        <sz val="10"/>
        <color indexed="8"/>
        <rFont val="Arial"/>
        <family val="2"/>
      </rPr>
      <t>2</t>
    </r>
  </si>
  <si>
    <r>
      <t>a</t>
    </r>
    <r>
      <rPr>
        <vertAlign val="subscript"/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[m]</t>
    </r>
  </si>
  <si>
    <r>
      <t>c</t>
    </r>
    <r>
      <rPr>
        <vertAlign val="subscript"/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(z) = k</t>
    </r>
    <r>
      <rPr>
        <vertAlign val="subscript"/>
        <sz val="10"/>
        <color indexed="8"/>
        <rFont val="Arial"/>
        <family val="2"/>
      </rPr>
      <t>r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Calibri"/>
        <family val="2"/>
      </rPr>
      <t>∙c</t>
    </r>
    <r>
      <rPr>
        <vertAlign val="subscript"/>
        <sz val="10"/>
        <color indexed="8"/>
        <rFont val="Calibri"/>
        <family val="2"/>
      </rPr>
      <t>t</t>
    </r>
    <r>
      <rPr>
        <sz val="10"/>
        <color indexed="8"/>
        <rFont val="Calibri"/>
        <family val="2"/>
      </rPr>
      <t>∙ln(z/z</t>
    </r>
    <r>
      <rPr>
        <vertAlign val="subscript"/>
        <sz val="10"/>
        <color indexed="8"/>
        <rFont val="Calibri"/>
        <family val="2"/>
      </rPr>
      <t>0</t>
    </r>
    <r>
      <rPr>
        <sz val="10"/>
        <color indexed="8"/>
        <rFont val="Calibri"/>
        <family val="2"/>
      </rPr>
      <t>) [7+c</t>
    </r>
    <r>
      <rPr>
        <vertAlign val="subscript"/>
        <sz val="10"/>
        <color indexed="8"/>
        <rFont val="Calibri"/>
        <family val="2"/>
      </rPr>
      <t>t</t>
    </r>
    <r>
      <rPr>
        <sz val="10"/>
        <color indexed="8"/>
        <rFont val="Calibri"/>
        <family val="2"/>
      </rPr>
      <t>∙ln(z/z</t>
    </r>
    <r>
      <rPr>
        <vertAlign val="subscript"/>
        <sz val="10"/>
        <color indexed="8"/>
        <rFont val="Calibri"/>
        <family val="2"/>
      </rPr>
      <t>0</t>
    </r>
    <r>
      <rPr>
        <sz val="10"/>
        <color indexed="8"/>
        <rFont val="Calibri"/>
        <family val="2"/>
      </rPr>
      <t>)]    per z ≥ z</t>
    </r>
    <r>
      <rPr>
        <vertAlign val="subscript"/>
        <sz val="10"/>
        <color indexed="8"/>
        <rFont val="Calibri"/>
        <family val="2"/>
      </rPr>
      <t>min</t>
    </r>
  </si>
  <si>
    <r>
      <t>c</t>
    </r>
    <r>
      <rPr>
        <vertAlign val="subscript"/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(z) = c</t>
    </r>
    <r>
      <rPr>
        <vertAlign val="subscript"/>
        <sz val="10"/>
        <color indexed="8"/>
        <rFont val="Arial"/>
        <family val="2"/>
      </rPr>
      <t>e</t>
    </r>
    <r>
      <rPr>
        <sz val="10"/>
        <color indexed="8"/>
        <rFont val="Calibri"/>
        <family val="2"/>
      </rPr>
      <t>(z</t>
    </r>
    <r>
      <rPr>
        <vertAlign val="subscript"/>
        <sz val="10"/>
        <color indexed="8"/>
        <rFont val="Calibri"/>
        <family val="2"/>
      </rPr>
      <t>min</t>
    </r>
    <r>
      <rPr>
        <sz val="10"/>
        <color indexed="8"/>
        <rFont val="Calibri"/>
        <family val="2"/>
      </rPr>
      <t>)                                       per z &lt; z</t>
    </r>
    <r>
      <rPr>
        <vertAlign val="subscript"/>
        <sz val="10"/>
        <color indexed="8"/>
        <rFont val="Calibri"/>
        <family val="2"/>
      </rPr>
      <t>min</t>
    </r>
  </si>
  <si>
    <t>TR</t>
  </si>
  <si>
    <r>
      <t>k</t>
    </r>
    <r>
      <rPr>
        <vertAlign val="subscript"/>
        <sz val="9"/>
        <color indexed="8"/>
        <rFont val="Arial"/>
        <family val="2"/>
      </rPr>
      <t>r</t>
    </r>
  </si>
  <si>
    <r>
      <t>z</t>
    </r>
    <r>
      <rPr>
        <vertAlign val="subscript"/>
        <sz val="9"/>
        <color indexed="8"/>
        <rFont val="Arial"/>
        <family val="2"/>
      </rPr>
      <t>0</t>
    </r>
    <r>
      <rPr>
        <sz val="9"/>
        <color indexed="8"/>
        <rFont val="Arial"/>
        <family val="2"/>
      </rPr>
      <t xml:space="preserve"> [m]</t>
    </r>
  </si>
  <si>
    <r>
      <t>z</t>
    </r>
    <r>
      <rPr>
        <vertAlign val="subscript"/>
        <sz val="9"/>
        <color indexed="8"/>
        <rFont val="Arial"/>
        <family val="2"/>
      </rPr>
      <t>min</t>
    </r>
    <r>
      <rPr>
        <sz val="9"/>
        <color indexed="8"/>
        <rFont val="Arial"/>
        <family val="2"/>
      </rPr>
      <t xml:space="preserve"> [m]</t>
    </r>
  </si>
  <si>
    <r>
      <t>c</t>
    </r>
    <r>
      <rPr>
        <vertAlign val="subscript"/>
        <sz val="10"/>
        <color indexed="8"/>
        <rFont val="Arial"/>
        <family val="2"/>
      </rPr>
      <t>p</t>
    </r>
  </si>
  <si>
    <r>
      <t>(2)</t>
    </r>
    <r>
      <rPr>
        <sz val="10"/>
        <color indexed="8"/>
        <rFont val="Arial"/>
        <family val="2"/>
      </rPr>
      <t xml:space="preserve"> c</t>
    </r>
    <r>
      <rPr>
        <vertAlign val="subscript"/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 xml:space="preserve"> =</t>
    </r>
    <r>
      <rPr>
        <vertAlign val="subscript"/>
        <sz val="10"/>
        <color indexed="8"/>
        <rFont val="Arial"/>
        <family val="2"/>
      </rPr>
      <t xml:space="preserve"> </t>
    </r>
  </si>
  <si>
    <r>
      <t>(3)</t>
    </r>
    <r>
      <rPr>
        <sz val="10"/>
        <color indexed="8"/>
        <rFont val="Arial"/>
        <family val="2"/>
      </rPr>
      <t xml:space="preserve"> c</t>
    </r>
    <r>
      <rPr>
        <vertAlign val="subscript"/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 xml:space="preserve"> = 0.4</t>
    </r>
  </si>
  <si>
    <r>
      <t>(1)</t>
    </r>
    <r>
      <rPr>
        <sz val="10"/>
        <color indexed="8"/>
        <rFont val="Arial"/>
        <family val="2"/>
      </rPr>
      <t xml:space="preserve"> c</t>
    </r>
    <r>
      <rPr>
        <vertAlign val="subscript"/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 xml:space="preserve"> = 0.8</t>
    </r>
  </si>
  <si>
    <r>
      <t>(4)</t>
    </r>
    <r>
      <rPr>
        <sz val="10"/>
        <color indexed="8"/>
        <rFont val="Arial"/>
        <family val="2"/>
      </rPr>
      <t xml:space="preserve"> c</t>
    </r>
    <r>
      <rPr>
        <vertAlign val="subscript"/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 xml:space="preserve"> = 0.4</t>
    </r>
  </si>
  <si>
    <r>
      <t>α</t>
    </r>
    <r>
      <rPr>
        <b/>
        <sz val="8"/>
        <color theme="1"/>
        <rFont val="Calibri"/>
        <family val="2"/>
      </rPr>
      <t>r</t>
    </r>
  </si>
  <si>
    <r>
      <t>v</t>
    </r>
    <r>
      <rPr>
        <b/>
        <vertAlign val="subscript"/>
        <sz val="10"/>
        <color indexed="8"/>
        <rFont val="Arial"/>
        <family val="2"/>
      </rPr>
      <t>b,0</t>
    </r>
    <r>
      <rPr>
        <b/>
        <sz val="10"/>
        <color indexed="8"/>
        <rFont val="Arial"/>
        <family val="2"/>
      </rPr>
      <t xml:space="preserve"> [m/s]</t>
    </r>
  </si>
  <si>
    <r>
      <t>a</t>
    </r>
    <r>
      <rPr>
        <b/>
        <vertAlign val="subscript"/>
        <sz val="10"/>
        <color indexed="8"/>
        <rFont val="Arial"/>
        <family val="2"/>
      </rPr>
      <t>0</t>
    </r>
    <r>
      <rPr>
        <b/>
        <sz val="10"/>
        <color indexed="8"/>
        <rFont val="Arial"/>
        <family val="2"/>
      </rPr>
      <t xml:space="preserve"> [m]</t>
    </r>
  </si>
  <si>
    <r>
      <t>k</t>
    </r>
    <r>
      <rPr>
        <b/>
        <vertAlign val="subscript"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 xml:space="preserve"> [1/s]</t>
    </r>
  </si>
  <si>
    <r>
      <t>P</t>
    </r>
    <r>
      <rPr>
        <b/>
        <vertAlign val="subscript"/>
        <sz val="11"/>
        <color theme="1"/>
        <rFont val="Times New Roman"/>
        <family val="1"/>
      </rPr>
      <t>min</t>
    </r>
  </si>
  <si>
    <r>
      <t>P</t>
    </r>
    <r>
      <rPr>
        <b/>
        <vertAlign val="subscript"/>
        <sz val="11"/>
        <color theme="1"/>
        <rFont val="Times New Roman"/>
        <family val="1"/>
      </rPr>
      <t>max</t>
    </r>
  </si>
  <si>
    <t>Esso può essere assunto cautelativamente pari ad 1 nelle costruzioni di tipologia ricorrente, quali gli edifici di forma regolare non eccedenti 80 m di altezza ed i capannoni industriali, oppure può essere determinato mediante analisi specifiche o facendo riferimento a dati di comprovata affidabilità.</t>
  </si>
  <si>
    <t>[m]</t>
  </si>
  <si>
    <t>[anni]</t>
  </si>
  <si>
    <t>1.DEFINIZIONE DEI DATI</t>
  </si>
  <si>
    <t>1.1 zona:</t>
  </si>
  <si>
    <t>1.2 Classe di rugosità del terreno:</t>
  </si>
  <si>
    <t>[N/m²]</t>
  </si>
  <si>
    <t>[m/s]</t>
  </si>
  <si>
    <t>3 CALCOLO DEI COEFFICIENTI</t>
  </si>
  <si>
    <t>L'assegnazione della classe di rugosità non dipende dalla conformazione orografica e topografica del terreno. Affinchè una costruzione possa dirsi ubicata in classe A o B è necessario che la situazione che contraddistingue la classe permanga intorno alla costruzione per non meno di 1 km e comunque non meno di 20 volte l'altezza della costruzione. Laddove sussistano dubbi sulla scelta della classe di rugosità, a meno di analisi dettagliate, verrà assegnata la classe più sfavorevole.</t>
  </si>
  <si>
    <t xml:space="preserve">Pressione cinetica di riferimento qb </t>
  </si>
  <si>
    <t>3.1 Coefficiente dinamico</t>
  </si>
  <si>
    <t>3.2 Coefficiente topografico</t>
  </si>
  <si>
    <r>
      <t>c</t>
    </r>
    <r>
      <rPr>
        <b/>
        <vertAlign val="subscript"/>
        <sz val="10"/>
        <color indexed="8"/>
        <rFont val="Arial"/>
        <family val="2"/>
      </rPr>
      <t>d</t>
    </r>
  </si>
  <si>
    <t>H</t>
  </si>
  <si>
    <t>β</t>
  </si>
  <si>
    <t>ϒ</t>
  </si>
  <si>
    <t>h</t>
  </si>
  <si>
    <t>x</t>
  </si>
  <si>
    <r>
      <t>c</t>
    </r>
    <r>
      <rPr>
        <b/>
        <vertAlign val="subscript"/>
        <sz val="10"/>
        <color indexed="8"/>
        <rFont val="Arial"/>
        <family val="2"/>
      </rPr>
      <t>t</t>
    </r>
  </si>
  <si>
    <t>coefficiente unitario</t>
  </si>
  <si>
    <t>z/H</t>
  </si>
  <si>
    <t>H/D</t>
  </si>
  <si>
    <t>coef topografico</t>
  </si>
  <si>
    <t>Il coefficiente di esposizione  dipende dall'altezza z sul suolo del punto considerato, dalla topografia del terreno e dalla categoria di esposizione del sito (e quindi dalla classe di rugosità del terreno) ove sorge la costruzione; per altezze non maggiori di z=200m valgono le seguenti espressioni</t>
  </si>
  <si>
    <t>3.4 Coefficiente di forma</t>
  </si>
  <si>
    <t>Edifici a pianta rettangolare con coperture piane, a falde, inclinate, curve</t>
  </si>
  <si>
    <t>stagne</t>
  </si>
  <si>
    <t>non stagne</t>
  </si>
  <si>
    <r>
      <t>v</t>
    </r>
    <r>
      <rPr>
        <b/>
        <u/>
        <vertAlign val="subscript"/>
        <sz val="11"/>
        <color rgb="FF00B0F0"/>
        <rFont val="Arial"/>
        <family val="2"/>
      </rPr>
      <t>b</t>
    </r>
    <r>
      <rPr>
        <b/>
        <u/>
        <sz val="11"/>
        <color rgb="FF00B0F0"/>
        <rFont val="Arial"/>
        <family val="2"/>
      </rPr>
      <t xml:space="preserve"> (velocità di riferimento )</t>
    </r>
  </si>
  <si>
    <r>
      <t>1.3 a</t>
    </r>
    <r>
      <rPr>
        <b/>
        <vertAlign val="subscript"/>
        <sz val="10"/>
        <color theme="0" tint="-0.499984740745262"/>
        <rFont val="Arial"/>
        <family val="2"/>
      </rPr>
      <t>s</t>
    </r>
    <r>
      <rPr>
        <b/>
        <sz val="10"/>
        <color theme="0" tint="-0.499984740745262"/>
        <rFont val="Arial"/>
        <family val="2"/>
      </rPr>
      <t xml:space="preserve"> (altitudine sul livello del mare):</t>
    </r>
  </si>
  <si>
    <t>3.3 Coefficiente di esposizione</t>
  </si>
  <si>
    <t>gradi</t>
  </si>
  <si>
    <r>
      <t>(</t>
    </r>
    <r>
      <rPr>
        <sz val="10"/>
        <color indexed="8"/>
        <rFont val="Symbol"/>
        <family val="1"/>
        <charset val="2"/>
      </rPr>
      <t>r</t>
    </r>
    <r>
      <rPr>
        <sz val="10"/>
        <color indexed="8"/>
        <rFont val="Arial"/>
        <family val="2"/>
      </rPr>
      <t xml:space="preserve"> = 1,25 kg/m</t>
    </r>
    <r>
      <rPr>
        <sz val="10"/>
        <color indexed="8"/>
        <rFont val="Times New Roman"/>
        <family val="1"/>
      </rPr>
      <t>³</t>
    </r>
    <r>
      <rPr>
        <sz val="10"/>
        <color indexed="8"/>
        <rFont val="Arial"/>
        <family val="2"/>
      </rPr>
      <t>)</t>
    </r>
  </si>
  <si>
    <t>1 costruzione ubicata sulla cresta di una collina</t>
  </si>
  <si>
    <t>2 costruzione ubicata sul livello superiore</t>
  </si>
  <si>
    <t>3 costruzione ubicata su di un pendio</t>
  </si>
  <si>
    <t>Direzione del vento→</t>
  </si>
  <si>
    <r>
      <t>p [kN/m</t>
    </r>
    <r>
      <rPr>
        <sz val="10"/>
        <color indexed="8"/>
        <rFont val="Calibri"/>
        <family val="2"/>
      </rPr>
      <t>²</t>
    </r>
    <r>
      <rPr>
        <sz val="10"/>
        <color indexed="8"/>
        <rFont val="Arial"/>
        <family val="2"/>
      </rPr>
      <t>]</t>
    </r>
  </si>
  <si>
    <t xml:space="preserve">4 PRESSIONI DEL VENTO </t>
  </si>
  <si>
    <t>Di seguito la pressione del vento trascurando il coefficiente di forma (Cp=1):</t>
  </si>
  <si>
    <t>sopravento</t>
  </si>
  <si>
    <t>sottovento</t>
  </si>
  <si>
    <t>→</t>
  </si>
  <si>
    <t>(1) parete sopravento</t>
  </si>
  <si>
    <t>(2) copertura sopravento</t>
  </si>
  <si>
    <t>(3) copertura sottovento</t>
  </si>
  <si>
    <t>(4) parete sottovento</t>
  </si>
  <si>
    <t>Combinazione più sfavorevole per pareti e copertura :</t>
  </si>
  <si>
    <t>2 CALCOLO VELOCITA' E PRESSIONE DI RIFERIMENTO DEL VENTO</t>
  </si>
  <si>
    <t>Il coefficiente topografico vale:</t>
  </si>
  <si>
    <t>Il coefficiente topografico si assume di norma uguale ad 1, sia per zone pianeggianti, ondulate, collinose e montane. Nel caso di costruzioni che sorgono presso la sommità di colline o pendii isolati si procede nel modo seguente:</t>
  </si>
  <si>
    <t>Ing. Davide Cicchini</t>
  </si>
  <si>
    <t>www.davidecicchini.it</t>
  </si>
  <si>
    <r>
      <t>c</t>
    </r>
    <r>
      <rPr>
        <b/>
        <vertAlign val="subscript"/>
        <sz val="10"/>
        <color indexed="8"/>
        <rFont val="Arial"/>
        <family val="2"/>
      </rPr>
      <t>e</t>
    </r>
  </si>
  <si>
    <r>
      <t>c</t>
    </r>
    <r>
      <rPr>
        <b/>
        <vertAlign val="subscript"/>
        <sz val="10"/>
        <color indexed="8"/>
        <rFont val="Arial"/>
        <family val="2"/>
      </rPr>
      <t>p</t>
    </r>
  </si>
  <si>
    <r>
      <t>P [kN/m</t>
    </r>
    <r>
      <rPr>
        <b/>
        <sz val="10"/>
        <color rgb="FF00B0F0"/>
        <rFont val="Calibri"/>
        <family val="2"/>
      </rPr>
      <t>²</t>
    </r>
    <r>
      <rPr>
        <b/>
        <sz val="10"/>
        <color rgb="FF00B0F0"/>
        <rFont val="Arial"/>
        <family val="2"/>
      </rPr>
      <t>]</t>
    </r>
  </si>
  <si>
    <t>(1) par. sopravent.</t>
  </si>
  <si>
    <t>(2) cop. sopravent.</t>
  </si>
  <si>
    <t>(3) cop. Sottovent.</t>
  </si>
  <si>
    <t>(4) par. sottovent.</t>
  </si>
  <si>
    <t>I dati possono essere inseriti solo nelle caselle con il bordo doppio.</t>
  </si>
  <si>
    <t>Salva la scheda "calcolo del vento" in formato pdf per ottenere la</t>
  </si>
  <si>
    <t>prescritto dalle norme tecniche delle costruzioni del 2008.</t>
  </si>
  <si>
    <t xml:space="preserve">Il file permette il calcolo dell'azione del vento, in accordo a quanto </t>
  </si>
  <si>
    <t>3.2.2 Dati richiesti, in base alla figura di riferimento:</t>
  </si>
  <si>
    <t>3.2.1 Caso selezionato:</t>
  </si>
  <si>
    <t>relazione! Oppure esegui direttamente la stampa dal file.</t>
  </si>
  <si>
    <t>AZIONE DEL VENTO PAR. 3.3 NTC08</t>
  </si>
  <si>
    <t>zona</t>
  </si>
  <si>
    <t>categoria</t>
  </si>
  <si>
    <t>ZONA 1</t>
  </si>
  <si>
    <t>chilometri in mare</t>
  </si>
  <si>
    <t>chilometri dalla costa</t>
  </si>
  <si>
    <t>fino a quota</t>
  </si>
  <si>
    <t>classe error</t>
  </si>
  <si>
    <t>ZONA 2-3-4</t>
  </si>
  <si>
    <t>ZONA 5</t>
  </si>
  <si>
    <t>ZONA 6</t>
  </si>
  <si>
    <t>ZONA 7</t>
  </si>
  <si>
    <t>ZONA 8</t>
  </si>
  <si>
    <t>ZONA 9</t>
  </si>
  <si>
    <t>mare</t>
  </si>
  <si>
    <t>costa</t>
  </si>
  <si>
    <t>1.4 Distanza dalla costa</t>
  </si>
  <si>
    <t>[km]</t>
  </si>
  <si>
    <t>Nelle fasce entro i 40km dalla costa delle zone 1,2,3,4,5 e 6 la categoria di esposizione è indipendente dall'altitudine del sito.</t>
  </si>
  <si>
    <r>
      <t>1.5 T</t>
    </r>
    <r>
      <rPr>
        <b/>
        <vertAlign val="subscript"/>
        <sz val="10"/>
        <color theme="0" tint="-0.499984740745262"/>
        <rFont val="Arial"/>
        <family val="2"/>
      </rPr>
      <t>R</t>
    </r>
    <r>
      <rPr>
        <b/>
        <sz val="10"/>
        <color theme="0" tint="-0.499984740745262"/>
        <rFont val="Arial"/>
        <family val="2"/>
      </rPr>
      <t xml:space="preserve"> (Tempo di ritorno):</t>
    </r>
  </si>
  <si>
    <t>1.6 z altezza dell'edificio (fino alla linea di gronda):</t>
  </si>
  <si>
    <t>1.7 Categoria di esposizione</t>
  </si>
  <si>
    <t>1.8 Altezza del colmo del tetto, rispetto al suolo e l'inclinazione della falda</t>
  </si>
  <si>
    <t>Coefficiente di esposizione alla gronda</t>
  </si>
  <si>
    <t>Coefficiente di esposizione al colmo</t>
  </si>
  <si>
    <r>
      <t>c</t>
    </r>
    <r>
      <rPr>
        <b/>
        <vertAlign val="subscript"/>
        <sz val="11"/>
        <color theme="1"/>
        <rFont val="Times New Roman"/>
        <family val="1"/>
      </rPr>
      <t>e,gronda</t>
    </r>
  </si>
  <si>
    <r>
      <t>c</t>
    </r>
    <r>
      <rPr>
        <b/>
        <vertAlign val="subscript"/>
        <sz val="11"/>
        <color theme="1"/>
        <rFont val="Times New Roman"/>
        <family val="1"/>
      </rPr>
      <t>e,colmo</t>
    </r>
  </si>
  <si>
    <t xml:space="preserve">Costruzioni che hanno una parete con aperture di superficie non minore di 1/3 di quella totale       </t>
  </si>
  <si>
    <t>Costruzioni che hanno (o possono avere) una parete con aperture di superficie minore di 1/3 di quella totale (caso tipico di civile abitazione)</t>
  </si>
  <si>
    <t>Costruzioni completamente stagne</t>
  </si>
  <si>
    <t>Costruzioni che presentano su due pareti opposte, normali alla direzione del vento, aperture di superficie non minore di 1/3 di quella totale</t>
  </si>
  <si>
    <t>cp</t>
  </si>
  <si>
    <t>cpi</t>
  </si>
  <si>
    <t>↗</t>
  </si>
  <si>
    <t>↑</t>
  </si>
  <si>
    <t>↓</t>
  </si>
  <si>
    <t>↘            ↙</t>
  </si>
  <si>
    <t>↖               ↗</t>
  </si>
  <si>
    <t>Versione 1.7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</si>
</sst>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00"/>
    <numFmt numFmtId="165" formatCode="0.0"/>
    <numFmt numFmtId="166" formatCode="0.00\ &quot;m&quot;"/>
    <numFmt numFmtId="167" formatCode="&quot;a = &quot;0&quot;°&quot;"/>
    <numFmt numFmtId="168" formatCode="0.00\ &quot;kN/mq&quot;"/>
    <numFmt numFmtId="169" formatCode="\z\ \&lt;\ 0.00"/>
    <numFmt numFmtId="170" formatCode="\z\ \=\ 0.00"/>
    <numFmt numFmtId="171" formatCode="&quot;←     Cpi= &quot;0.00&quot;    →&quot;"/>
    <numFmt numFmtId="172" formatCode="&quot;  →   Cpi= &quot;0.00\ \ &quot;    ←&quot;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b/>
      <vertAlign val="subscript"/>
      <sz val="11"/>
      <color theme="1"/>
      <name val="Times New Roman"/>
      <family val="1"/>
    </font>
    <font>
      <vertAlign val="subscript"/>
      <sz val="11"/>
      <color theme="1"/>
      <name val="Times New Roman"/>
      <family val="1"/>
    </font>
    <font>
      <b/>
      <sz val="11"/>
      <color theme="1"/>
      <name val="Calibri"/>
      <family val="2"/>
    </font>
    <font>
      <b/>
      <sz val="12"/>
      <color rgb="FFFF0000"/>
      <name val="Calibri Light"/>
      <family val="2"/>
      <scheme val="major"/>
    </font>
    <font>
      <sz val="9"/>
      <color theme="1"/>
      <name val="Times New Roman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2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vertAlign val="subscript"/>
      <sz val="10"/>
      <color indexed="8"/>
      <name val="Arial"/>
      <family val="2"/>
    </font>
    <font>
      <sz val="10"/>
      <color indexed="8"/>
      <name val="Arial"/>
      <family val="2"/>
    </font>
    <font>
      <sz val="7"/>
      <color theme="1"/>
      <name val="Arial"/>
      <family val="2"/>
    </font>
    <font>
      <b/>
      <sz val="10"/>
      <color theme="1"/>
      <name val="Arial"/>
      <family val="2"/>
    </font>
    <font>
      <sz val="10"/>
      <color indexed="8"/>
      <name val="Calibri"/>
      <family val="2"/>
    </font>
    <font>
      <u/>
      <sz val="10"/>
      <color theme="1"/>
      <name val="Arial"/>
      <family val="2"/>
    </font>
    <font>
      <sz val="10"/>
      <color indexed="8"/>
      <name val="Symbol"/>
      <family val="1"/>
      <charset val="2"/>
    </font>
    <font>
      <vertAlign val="superscript"/>
      <sz val="10"/>
      <color indexed="8"/>
      <name val="Arial"/>
      <family val="2"/>
    </font>
    <font>
      <vertAlign val="subscript"/>
      <sz val="10"/>
      <color indexed="8"/>
      <name val="Calibri"/>
      <family val="2"/>
    </font>
    <font>
      <sz val="9"/>
      <color theme="1"/>
      <name val="Arial"/>
      <family val="2"/>
    </font>
    <font>
      <vertAlign val="subscript"/>
      <sz val="9"/>
      <color indexed="8"/>
      <name val="Arial"/>
      <family val="2"/>
    </font>
    <font>
      <sz val="9"/>
      <color indexed="8"/>
      <name val="Arial"/>
      <family val="2"/>
    </font>
    <font>
      <sz val="9"/>
      <color theme="1"/>
      <name val="Calibri"/>
      <family val="2"/>
      <scheme val="minor"/>
    </font>
    <font>
      <i/>
      <sz val="10"/>
      <color indexed="8"/>
      <name val="Arial"/>
      <family val="2"/>
    </font>
    <font>
      <b/>
      <sz val="8"/>
      <color theme="1"/>
      <name val="Calibri"/>
      <family val="2"/>
    </font>
    <font>
      <b/>
      <vertAlign val="subscript"/>
      <sz val="10"/>
      <color indexed="8"/>
      <name val="Arial"/>
      <family val="2"/>
    </font>
    <font>
      <b/>
      <sz val="10"/>
      <color indexed="8"/>
      <name val="Arial"/>
      <family val="2"/>
    </font>
    <font>
      <b/>
      <u/>
      <sz val="10"/>
      <color theme="1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00B0F0"/>
      <name val="Arial"/>
      <family val="2"/>
    </font>
    <font>
      <b/>
      <sz val="11"/>
      <color rgb="FFFF0000"/>
      <name val="Arial"/>
      <family val="2"/>
    </font>
    <font>
      <b/>
      <u/>
      <sz val="11"/>
      <color rgb="FF00B0F0"/>
      <name val="Arial"/>
      <family val="2"/>
    </font>
    <font>
      <b/>
      <u/>
      <vertAlign val="subscript"/>
      <sz val="11"/>
      <color rgb="FF00B0F0"/>
      <name val="Arial"/>
      <family val="2"/>
    </font>
    <font>
      <b/>
      <u/>
      <sz val="10"/>
      <color rgb="FF00B0F0"/>
      <name val="Arial"/>
      <family val="2"/>
    </font>
    <font>
      <b/>
      <sz val="10"/>
      <color rgb="FF00B0F0"/>
      <name val="Arial"/>
      <family val="2"/>
    </font>
    <font>
      <b/>
      <sz val="11"/>
      <color theme="0" tint="-0.499984740745262"/>
      <name val="Calibri"/>
      <family val="2"/>
      <scheme val="minor"/>
    </font>
    <font>
      <b/>
      <sz val="10"/>
      <color theme="0" tint="-0.499984740745262"/>
      <name val="Arial"/>
      <family val="2"/>
    </font>
    <font>
      <b/>
      <vertAlign val="subscript"/>
      <sz val="10"/>
      <color theme="0" tint="-0.499984740745262"/>
      <name val="Arial"/>
      <family val="2"/>
    </font>
    <font>
      <b/>
      <u/>
      <sz val="10"/>
      <color theme="0" tint="-0.499984740745262"/>
      <name val="Arial"/>
      <family val="2"/>
    </font>
    <font>
      <b/>
      <sz val="9"/>
      <color theme="0" tint="-0.34998626667073579"/>
      <name val="Arial"/>
      <family val="2"/>
    </font>
    <font>
      <sz val="10"/>
      <color indexed="8"/>
      <name val="Times New Roman"/>
      <family val="1"/>
    </font>
    <font>
      <b/>
      <sz val="10"/>
      <color rgb="FF00B0F0"/>
      <name val="Calibri"/>
      <family val="2"/>
    </font>
    <font>
      <sz val="10"/>
      <color rgb="FF00B0F0"/>
      <name val="Arial"/>
      <family val="2"/>
    </font>
    <font>
      <b/>
      <sz val="10"/>
      <color indexed="8"/>
      <name val="Symbol"/>
      <family val="1"/>
      <charset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indexed="8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9"/>
      <color indexed="8"/>
      <name val="Arial"/>
      <family val="2"/>
    </font>
    <font>
      <b/>
      <sz val="11"/>
      <color rgb="FF00B050"/>
      <name val="Calibri"/>
      <family val="2"/>
      <scheme val="minor"/>
    </font>
    <font>
      <b/>
      <i/>
      <u/>
      <sz val="12"/>
      <color theme="1"/>
      <name val="Arial"/>
      <family val="2"/>
    </font>
    <font>
      <sz val="11"/>
      <color rgb="FFFF0000"/>
      <name val="Calibri"/>
      <family val="2"/>
      <scheme val="minor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</font>
    <font>
      <b/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35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 diagonalUp="1">
      <left/>
      <right/>
      <top/>
      <bottom/>
      <diagonal style="medium">
        <color indexed="64"/>
      </diagonal>
    </border>
    <border diagonalDown="1">
      <left/>
      <right/>
      <top/>
      <bottom/>
      <diagonal style="medium">
        <color indexed="64"/>
      </diagonal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52" fillId="0" borderId="0" applyNumberFormat="0" applyFill="0" applyBorder="0" applyAlignment="0" applyProtection="0"/>
  </cellStyleXfs>
  <cellXfs count="286">
    <xf numFmtId="0" fontId="0" fillId="0" borderId="0" xfId="0"/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4" fillId="0" borderId="0" xfId="0" applyFont="1" applyAlignment="1" applyProtection="1">
      <alignment vertical="center"/>
      <protection hidden="1"/>
    </xf>
    <xf numFmtId="0" fontId="14" fillId="0" borderId="2" xfId="0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16" fillId="0" borderId="0" xfId="0" applyFont="1" applyBorder="1" applyAlignment="1" applyProtection="1">
      <alignment horizontal="center" vertical="center"/>
      <protection hidden="1"/>
    </xf>
    <xf numFmtId="164" fontId="16" fillId="0" borderId="0" xfId="0" applyNumberFormat="1" applyFont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vertical="center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1" fillId="0" borderId="0" xfId="0" applyFont="1" applyAlignment="1">
      <alignment horizontal="center" vertical="center"/>
    </xf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0" xfId="0" applyBorder="1" applyAlignment="1">
      <alignment horizontal="center" vertical="center"/>
    </xf>
    <xf numFmtId="0" fontId="0" fillId="0" borderId="7" xfId="0" applyBorder="1"/>
    <xf numFmtId="0" fontId="0" fillId="0" borderId="8" xfId="0" applyBorder="1"/>
    <xf numFmtId="0" fontId="0" fillId="0" borderId="8" xfId="0" applyBorder="1" applyAlignment="1">
      <alignment horizontal="center" vertical="center"/>
    </xf>
    <xf numFmtId="0" fontId="0" fillId="0" borderId="9" xfId="0" applyBorder="1"/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2" fontId="1" fillId="3" borderId="0" xfId="0" applyNumberFormat="1" applyFont="1" applyFill="1" applyAlignment="1">
      <alignment horizontal="center" vertical="center"/>
    </xf>
    <xf numFmtId="0" fontId="0" fillId="0" borderId="0" xfId="0" applyProtection="1">
      <protection locked="0"/>
    </xf>
    <xf numFmtId="0" fontId="27" fillId="0" borderId="0" xfId="0" applyFont="1" applyProtection="1">
      <protection locked="0"/>
    </xf>
    <xf numFmtId="0" fontId="14" fillId="0" borderId="0" xfId="0" applyFont="1" applyAlignment="1" applyProtection="1">
      <alignment vertical="center"/>
      <protection locked="0"/>
    </xf>
    <xf numFmtId="0" fontId="14" fillId="0" borderId="2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2" fontId="3" fillId="0" borderId="2" xfId="0" applyNumberFormat="1" applyFont="1" applyFill="1" applyBorder="1" applyAlignment="1" applyProtection="1">
      <alignment horizontal="center" vertical="center"/>
      <protection locked="0"/>
    </xf>
    <xf numFmtId="0" fontId="41" fillId="0" borderId="0" xfId="0" applyFont="1" applyAlignment="1" applyProtection="1">
      <alignment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2" fontId="1" fillId="0" borderId="2" xfId="0" applyNumberFormat="1" applyFont="1" applyFill="1" applyBorder="1" applyAlignment="1">
      <alignment horizontal="center" vertical="center"/>
    </xf>
    <xf numFmtId="0" fontId="13" fillId="0" borderId="2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24" fillId="0" borderId="2" xfId="0" applyFont="1" applyBorder="1" applyAlignment="1" applyProtection="1">
      <alignment vertical="center" wrapText="1"/>
      <protection locked="0"/>
    </xf>
    <xf numFmtId="0" fontId="24" fillId="0" borderId="2" xfId="0" applyFont="1" applyBorder="1" applyAlignment="1" applyProtection="1">
      <alignment horizontal="center" vertical="center"/>
      <protection locked="0"/>
    </xf>
    <xf numFmtId="164" fontId="24" fillId="0" borderId="2" xfId="0" applyNumberFormat="1" applyFont="1" applyBorder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vertical="center"/>
      <protection locked="0"/>
    </xf>
    <xf numFmtId="0" fontId="24" fillId="0" borderId="2" xfId="0" applyFont="1" applyBorder="1" applyAlignment="1" applyProtection="1">
      <alignment vertical="center"/>
      <protection locked="0"/>
    </xf>
    <xf numFmtId="0" fontId="0" fillId="0" borderId="0" xfId="0" applyProtection="1">
      <protection hidden="1"/>
    </xf>
    <xf numFmtId="0" fontId="0" fillId="0" borderId="31" xfId="0" applyFont="1" applyBorder="1" applyProtection="1">
      <protection hidden="1"/>
    </xf>
    <xf numFmtId="0" fontId="42" fillId="0" borderId="0" xfId="0" applyFont="1" applyProtection="1">
      <protection hidden="1"/>
    </xf>
    <xf numFmtId="0" fontId="14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43" fillId="0" borderId="0" xfId="0" applyFont="1" applyAlignment="1" applyProtection="1">
      <alignment vertical="center"/>
      <protection hidden="1"/>
    </xf>
    <xf numFmtId="0" fontId="0" fillId="0" borderId="23" xfId="0" applyBorder="1" applyProtection="1">
      <protection hidden="1"/>
    </xf>
    <xf numFmtId="0" fontId="18" fillId="0" borderId="0" xfId="0" applyFont="1" applyBorder="1" applyAlignment="1" applyProtection="1">
      <alignment horizontal="left" vertical="center"/>
      <protection hidden="1"/>
    </xf>
    <xf numFmtId="0" fontId="14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Border="1" applyAlignment="1" applyProtection="1">
      <alignment vertical="center"/>
      <protection hidden="1"/>
    </xf>
    <xf numFmtId="0" fontId="18" fillId="0" borderId="0" xfId="0" applyFont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vertical="center"/>
      <protection hidden="1"/>
    </xf>
    <xf numFmtId="0" fontId="37" fillId="0" borderId="31" xfId="0" applyFont="1" applyBorder="1" applyAlignment="1" applyProtection="1">
      <alignment vertical="center"/>
      <protection hidden="1"/>
    </xf>
    <xf numFmtId="0" fontId="0" fillId="0" borderId="31" xfId="0" applyBorder="1" applyProtection="1">
      <protection hidden="1"/>
    </xf>
    <xf numFmtId="0" fontId="14" fillId="0" borderId="31" xfId="0" applyFont="1" applyBorder="1" applyAlignment="1" applyProtection="1">
      <alignment vertical="center"/>
      <protection hidden="1"/>
    </xf>
    <xf numFmtId="2" fontId="36" fillId="0" borderId="0" xfId="0" applyNumberFormat="1" applyFont="1" applyBorder="1" applyAlignment="1" applyProtection="1">
      <alignment horizontal="center" vertical="center"/>
      <protection hidden="1"/>
    </xf>
    <xf numFmtId="0" fontId="36" fillId="0" borderId="0" xfId="0" applyFont="1" applyBorder="1" applyAlignment="1" applyProtection="1">
      <alignment vertical="center"/>
      <protection hidden="1"/>
    </xf>
    <xf numFmtId="2" fontId="41" fillId="0" borderId="0" xfId="0" applyNumberFormat="1" applyFont="1" applyBorder="1" applyAlignment="1" applyProtection="1">
      <alignment horizontal="center" vertical="center"/>
      <protection hidden="1"/>
    </xf>
    <xf numFmtId="0" fontId="41" fillId="0" borderId="0" xfId="0" applyFont="1" applyBorder="1" applyAlignment="1" applyProtection="1">
      <alignment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45" fillId="0" borderId="0" xfId="0" applyFont="1" applyAlignment="1" applyProtection="1">
      <alignment vertical="center"/>
      <protection hidden="1"/>
    </xf>
    <xf numFmtId="0" fontId="18" fillId="0" borderId="3" xfId="0" applyFont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top" wrapText="1"/>
      <protection hidden="1"/>
    </xf>
    <xf numFmtId="0" fontId="17" fillId="0" borderId="0" xfId="0" applyFont="1" applyBorder="1" applyAlignment="1" applyProtection="1">
      <alignment vertical="center" wrapText="1"/>
      <protection hidden="1"/>
    </xf>
    <xf numFmtId="0" fontId="14" fillId="0" borderId="0" xfId="0" applyFont="1" applyAlignment="1" applyProtection="1">
      <alignment vertical="center" wrapText="1"/>
      <protection hidden="1"/>
    </xf>
    <xf numFmtId="0" fontId="17" fillId="0" borderId="0" xfId="0" applyFont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3" fillId="0" borderId="2" xfId="0" applyFont="1" applyBorder="1" applyAlignment="1" applyProtection="1">
      <alignment horizontal="center" vertical="center"/>
      <protection hidden="1"/>
    </xf>
    <xf numFmtId="2" fontId="0" fillId="0" borderId="2" xfId="0" applyNumberFormat="1" applyBorder="1" applyAlignment="1" applyProtection="1">
      <alignment horizontal="center" vertical="center"/>
      <protection hidden="1"/>
    </xf>
    <xf numFmtId="2" fontId="18" fillId="0" borderId="2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2" fontId="14" fillId="0" borderId="2" xfId="0" applyNumberFormat="1" applyFont="1" applyBorder="1" applyAlignment="1" applyProtection="1">
      <alignment horizontal="center" vertical="center"/>
      <protection hidden="1"/>
    </xf>
    <xf numFmtId="170" fontId="16" fillId="0" borderId="2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2" fontId="3" fillId="0" borderId="0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35" fillId="0" borderId="29" xfId="0" applyFont="1" applyBorder="1" applyAlignment="1" applyProtection="1">
      <alignment vertical="center"/>
      <protection hidden="1"/>
    </xf>
    <xf numFmtId="166" fontId="16" fillId="0" borderId="0" xfId="0" applyNumberFormat="1" applyFont="1" applyFill="1" applyBorder="1" applyAlignment="1" applyProtection="1">
      <alignment horizontal="center" vertical="center"/>
      <protection hidden="1"/>
    </xf>
    <xf numFmtId="0" fontId="16" fillId="0" borderId="12" xfId="0" applyFont="1" applyBorder="1" applyAlignment="1" applyProtection="1">
      <alignment vertical="center"/>
      <protection hidden="1"/>
    </xf>
    <xf numFmtId="0" fontId="16" fillId="0" borderId="13" xfId="0" applyFont="1" applyBorder="1" applyAlignment="1" applyProtection="1">
      <alignment vertical="center"/>
      <protection hidden="1"/>
    </xf>
    <xf numFmtId="166" fontId="16" fillId="0" borderId="2" xfId="0" applyNumberFormat="1" applyFont="1" applyFill="1" applyBorder="1" applyAlignment="1" applyProtection="1">
      <alignment horizontal="center" vertical="center"/>
      <protection hidden="1"/>
    </xf>
    <xf numFmtId="0" fontId="21" fillId="0" borderId="12" xfId="0" applyFont="1" applyBorder="1" applyAlignment="1" applyProtection="1">
      <alignment horizontal="right" vertical="center"/>
      <protection hidden="1"/>
    </xf>
    <xf numFmtId="0" fontId="16" fillId="0" borderId="14" xfId="0" applyFont="1" applyBorder="1" applyAlignment="1" applyProtection="1">
      <alignment vertical="center"/>
      <protection hidden="1"/>
    </xf>
    <xf numFmtId="0" fontId="16" fillId="0" borderId="15" xfId="0" applyFont="1" applyBorder="1" applyAlignment="1" applyProtection="1">
      <alignment vertical="center"/>
      <protection hidden="1"/>
    </xf>
    <xf numFmtId="0" fontId="31" fillId="0" borderId="2" xfId="0" applyFont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16" fillId="0" borderId="2" xfId="0" applyFont="1" applyBorder="1" applyAlignment="1" applyProtection="1">
      <alignment horizontal="center" vertical="center"/>
      <protection hidden="1"/>
    </xf>
    <xf numFmtId="0" fontId="28" fillId="0" borderId="0" xfId="0" applyFont="1" applyBorder="1" applyAlignment="1" applyProtection="1">
      <alignment horizontal="right" vertical="center"/>
      <protection hidden="1"/>
    </xf>
    <xf numFmtId="0" fontId="16" fillId="0" borderId="0" xfId="0" applyFont="1" applyBorder="1" applyAlignment="1" applyProtection="1">
      <alignment horizontal="left" vertical="center"/>
      <protection hidden="1"/>
    </xf>
    <xf numFmtId="2" fontId="16" fillId="0" borderId="2" xfId="0" applyNumberFormat="1" applyFont="1" applyBorder="1" applyAlignment="1" applyProtection="1">
      <alignment horizontal="center" vertical="center"/>
      <protection hidden="1"/>
    </xf>
    <xf numFmtId="0" fontId="48" fillId="0" borderId="0" xfId="0" applyFont="1" applyAlignment="1" applyProtection="1">
      <alignment horizontal="right" vertical="center"/>
      <protection hidden="1"/>
    </xf>
    <xf numFmtId="0" fontId="48" fillId="0" borderId="0" xfId="0" applyFont="1" applyAlignment="1" applyProtection="1">
      <alignment vertical="center"/>
      <protection hidden="1"/>
    </xf>
    <xf numFmtId="0" fontId="49" fillId="0" borderId="0" xfId="0" applyFont="1" applyAlignment="1" applyProtection="1">
      <alignment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28" fillId="0" borderId="0" xfId="0" applyFont="1" applyBorder="1" applyAlignment="1" applyProtection="1">
      <alignment horizontal="center" vertical="center"/>
      <protection hidden="1"/>
    </xf>
    <xf numFmtId="2" fontId="16" fillId="0" borderId="0" xfId="0" applyNumberFormat="1" applyFont="1" applyBorder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164" fontId="0" fillId="0" borderId="2" xfId="0" applyNumberFormat="1" applyBorder="1" applyAlignment="1" applyProtection="1">
      <alignment horizontal="center" vertical="center"/>
      <protection hidden="1"/>
    </xf>
    <xf numFmtId="164" fontId="16" fillId="0" borderId="2" xfId="0" applyNumberFormat="1" applyFont="1" applyBorder="1" applyAlignment="1" applyProtection="1">
      <alignment horizontal="center" vertical="center"/>
      <protection hidden="1"/>
    </xf>
    <xf numFmtId="2" fontId="0" fillId="0" borderId="2" xfId="0" applyNumberForma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164" fontId="0" fillId="0" borderId="2" xfId="0" applyNumberFormat="1" applyFill="1" applyBorder="1" applyAlignment="1" applyProtection="1">
      <alignment horizontal="center" vertical="center"/>
      <protection hidden="1"/>
    </xf>
    <xf numFmtId="168" fontId="16" fillId="0" borderId="0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protection hidden="1"/>
    </xf>
    <xf numFmtId="0" fontId="45" fillId="0" borderId="23" xfId="0" applyFont="1" applyBorder="1" applyAlignment="1" applyProtection="1">
      <alignment vertical="center"/>
      <protection hidden="1"/>
    </xf>
    <xf numFmtId="0" fontId="45" fillId="0" borderId="21" xfId="0" applyFont="1" applyBorder="1" applyAlignment="1" applyProtection="1">
      <alignment vertical="center"/>
      <protection hidden="1"/>
    </xf>
    <xf numFmtId="0" fontId="51" fillId="0" borderId="0" xfId="0" applyFont="1"/>
    <xf numFmtId="0" fontId="45" fillId="0" borderId="0" xfId="0" applyFont="1" applyAlignment="1" applyProtection="1">
      <alignment horizontal="left" vertical="center"/>
      <protection hidden="1"/>
    </xf>
    <xf numFmtId="0" fontId="14" fillId="0" borderId="0" xfId="0" applyFont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alignment horizontal="center" vertical="center" wrapText="1"/>
      <protection hidden="1"/>
    </xf>
    <xf numFmtId="0" fontId="24" fillId="0" borderId="0" xfId="0" applyFont="1" applyBorder="1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horizontal="center" vertical="center" wrapText="1"/>
      <protection hidden="1"/>
    </xf>
    <xf numFmtId="0" fontId="14" fillId="0" borderId="2" xfId="0" applyFont="1" applyBorder="1" applyAlignment="1" applyProtection="1">
      <alignment horizontal="center" vertical="center"/>
      <protection hidden="1"/>
    </xf>
    <xf numFmtId="0" fontId="41" fillId="0" borderId="2" xfId="0" applyFont="1" applyBorder="1" applyAlignment="1" applyProtection="1">
      <alignment horizontal="center" vertical="center"/>
      <protection hidden="1"/>
    </xf>
    <xf numFmtId="164" fontId="41" fillId="0" borderId="2" xfId="0" applyNumberFormat="1" applyFont="1" applyBorder="1" applyAlignment="1" applyProtection="1">
      <alignment horizontal="center" vertical="center"/>
      <protection hidden="1"/>
    </xf>
    <xf numFmtId="0" fontId="13" fillId="0" borderId="30" xfId="0" applyFont="1" applyBorder="1" applyAlignment="1" applyProtection="1">
      <protection hidden="1"/>
    </xf>
    <xf numFmtId="0" fontId="53" fillId="0" borderId="3" xfId="0" applyFont="1" applyBorder="1" applyAlignment="1" applyProtection="1">
      <alignment horizontal="left" vertical="center"/>
      <protection hidden="1"/>
    </xf>
    <xf numFmtId="0" fontId="54" fillId="0" borderId="0" xfId="0" applyFont="1" applyAlignment="1" applyProtection="1">
      <alignment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vertical="center"/>
      <protection hidden="1"/>
    </xf>
    <xf numFmtId="170" fontId="16" fillId="0" borderId="0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169" fontId="16" fillId="0" borderId="0" xfId="0" applyNumberFormat="1" applyFont="1" applyBorder="1" applyAlignment="1" applyProtection="1">
      <alignment horizontal="center" vertical="center"/>
      <protection hidden="1"/>
    </xf>
    <xf numFmtId="0" fontId="55" fillId="0" borderId="0" xfId="0" applyFont="1" applyProtection="1">
      <protection hidden="1"/>
    </xf>
    <xf numFmtId="0" fontId="56" fillId="0" borderId="0" xfId="0" applyFont="1" applyProtection="1">
      <protection hidden="1"/>
    </xf>
    <xf numFmtId="0" fontId="43" fillId="0" borderId="0" xfId="0" applyFont="1" applyBorder="1" applyAlignment="1" applyProtection="1">
      <alignment horizontal="left" vertical="center"/>
      <protection hidden="1"/>
    </xf>
    <xf numFmtId="0" fontId="24" fillId="0" borderId="0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Alignment="1">
      <alignment horizontal="center" vertical="center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2" xfId="0" applyBorder="1" applyAlignment="1">
      <alignment horizontal="center" vertical="center"/>
    </xf>
    <xf numFmtId="0" fontId="0" fillId="5" borderId="2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>
      <alignment horizontal="center" vertical="center"/>
    </xf>
    <xf numFmtId="0" fontId="0" fillId="0" borderId="32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protection hidden="1"/>
    </xf>
    <xf numFmtId="0" fontId="0" fillId="0" borderId="10" xfId="0" applyBorder="1" applyAlignment="1">
      <alignment horizontal="center" vertical="center"/>
    </xf>
    <xf numFmtId="0" fontId="0" fillId="0" borderId="32" xfId="0" applyBorder="1" applyAlignment="1" applyProtection="1">
      <alignment horizontal="center"/>
      <protection hidden="1"/>
    </xf>
    <xf numFmtId="0" fontId="0" fillId="0" borderId="4" xfId="0" applyBorder="1" applyAlignment="1" applyProtection="1"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60" fillId="0" borderId="10" xfId="0" applyFont="1" applyFill="1" applyBorder="1" applyAlignment="1" applyProtection="1">
      <alignment horizontal="center" vertical="center"/>
      <protection hidden="1"/>
    </xf>
    <xf numFmtId="0" fontId="61" fillId="0" borderId="0" xfId="0" applyFont="1" applyAlignment="1" applyProtection="1">
      <alignment horizontal="left" vertical="center" wrapText="1"/>
      <protection hidden="1"/>
    </xf>
    <xf numFmtId="0" fontId="14" fillId="0" borderId="18" xfId="0" applyFont="1" applyFill="1" applyBorder="1" applyAlignment="1" applyProtection="1">
      <alignment horizontal="center" vertical="center"/>
      <protection locked="0" hidden="1"/>
    </xf>
    <xf numFmtId="0" fontId="14" fillId="0" borderId="2" xfId="0" applyFont="1" applyFill="1" applyBorder="1" applyAlignment="1" applyProtection="1">
      <alignment horizontal="center" vertical="center"/>
    </xf>
    <xf numFmtId="0" fontId="14" fillId="0" borderId="1" xfId="0" quotePrefix="1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2" fontId="18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6" fontId="31" fillId="0" borderId="1" xfId="0" applyNumberFormat="1" applyFont="1" applyFill="1" applyBorder="1" applyAlignment="1" applyProtection="1">
      <alignment horizontal="center" vertical="center"/>
      <protection locked="0"/>
    </xf>
    <xf numFmtId="167" fontId="50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Fill="1" applyProtection="1">
      <protection hidden="1"/>
    </xf>
    <xf numFmtId="0" fontId="33" fillId="0" borderId="0" xfId="0" applyFont="1" applyProtection="1">
      <protection hidden="1"/>
    </xf>
    <xf numFmtId="0" fontId="33" fillId="0" borderId="0" xfId="0" applyFont="1" applyAlignment="1" applyProtection="1">
      <alignment horizontal="right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0" fillId="0" borderId="12" xfId="0" applyBorder="1" applyProtection="1">
      <protection hidden="1"/>
    </xf>
    <xf numFmtId="0" fontId="0" fillId="0" borderId="13" xfId="0" applyBorder="1" applyProtection="1">
      <protection hidden="1"/>
    </xf>
    <xf numFmtId="0" fontId="64" fillId="0" borderId="0" xfId="0" applyFont="1" applyAlignment="1" applyProtection="1">
      <alignment horizontal="center" vertical="center"/>
      <protection hidden="1"/>
    </xf>
    <xf numFmtId="0" fontId="65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right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172" fontId="0" fillId="0" borderId="14" xfId="0" applyNumberFormat="1" applyBorder="1" applyAlignment="1" applyProtection="1">
      <alignment vertical="center"/>
      <protection hidden="1"/>
    </xf>
    <xf numFmtId="172" fontId="0" fillId="0" borderId="15" xfId="0" applyNumberFormat="1" applyBorder="1" applyAlignment="1" applyProtection="1">
      <alignment vertical="center"/>
      <protection hidden="1"/>
    </xf>
    <xf numFmtId="2" fontId="0" fillId="0" borderId="0" xfId="0" applyNumberFormat="1"/>
    <xf numFmtId="0" fontId="48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>
      <alignment horizontal="center"/>
    </xf>
    <xf numFmtId="0" fontId="52" fillId="0" borderId="0" xfId="1" applyAlignment="1" applyProtection="1">
      <alignment horizontal="center"/>
    </xf>
    <xf numFmtId="0" fontId="52" fillId="0" borderId="0" xfId="1" applyAlignment="1" applyProtection="1">
      <alignment horizontal="center"/>
      <protection locked="0"/>
    </xf>
    <xf numFmtId="0" fontId="58" fillId="6" borderId="0" xfId="0" applyFont="1" applyFill="1" applyAlignment="1">
      <alignment horizontal="center" vertical="center"/>
    </xf>
    <xf numFmtId="0" fontId="37" fillId="0" borderId="31" xfId="0" applyFont="1" applyBorder="1" applyAlignment="1" applyProtection="1">
      <alignment horizontal="left"/>
      <protection hidden="1"/>
    </xf>
    <xf numFmtId="0" fontId="33" fillId="0" borderId="33" xfId="0" applyFont="1" applyBorder="1" applyAlignment="1" applyProtection="1">
      <alignment horizontal="center"/>
      <protection hidden="1"/>
    </xf>
    <xf numFmtId="0" fontId="0" fillId="0" borderId="34" xfId="0" applyBorder="1" applyAlignment="1" applyProtection="1">
      <alignment horizontal="center"/>
      <protection hidden="1"/>
    </xf>
    <xf numFmtId="0" fontId="33" fillId="0" borderId="14" xfId="0" applyFont="1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171" fontId="0" fillId="0" borderId="14" xfId="0" applyNumberFormat="1" applyBorder="1" applyAlignment="1" applyProtection="1">
      <alignment horizontal="center" vertical="center"/>
      <protection hidden="1"/>
    </xf>
    <xf numFmtId="171" fontId="0" fillId="0" borderId="15" xfId="0" applyNumberFormat="1" applyBorder="1" applyAlignment="1" applyProtection="1">
      <alignment horizontal="center" vertical="center"/>
      <protection hidden="1"/>
    </xf>
    <xf numFmtId="172" fontId="0" fillId="0" borderId="14" xfId="0" applyNumberFormat="1" applyBorder="1" applyAlignment="1" applyProtection="1">
      <alignment horizontal="center" vertical="center"/>
      <protection hidden="1"/>
    </xf>
    <xf numFmtId="172" fontId="0" fillId="0" borderId="15" xfId="0" applyNumberFormat="1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45" fillId="0" borderId="0" xfId="0" applyFont="1" applyAlignment="1" applyProtection="1">
      <alignment horizontal="left" vertical="center"/>
      <protection hidden="1"/>
    </xf>
    <xf numFmtId="0" fontId="45" fillId="0" borderId="23" xfId="0" applyFont="1" applyBorder="1" applyAlignment="1" applyProtection="1">
      <alignment horizontal="left" vertical="center"/>
      <protection hidden="1"/>
    </xf>
    <xf numFmtId="0" fontId="43" fillId="0" borderId="0" xfId="0" applyFont="1" applyAlignment="1" applyProtection="1">
      <alignment horizontal="left" vertical="center"/>
      <protection hidden="1"/>
    </xf>
    <xf numFmtId="0" fontId="43" fillId="0" borderId="23" xfId="0" applyFont="1" applyBorder="1" applyAlignment="1" applyProtection="1">
      <alignment horizontal="left" vertical="center"/>
      <protection hidden="1"/>
    </xf>
    <xf numFmtId="0" fontId="61" fillId="0" borderId="0" xfId="0" applyFont="1" applyAlignment="1" applyProtection="1">
      <alignment horizontal="left" vertical="center" wrapText="1"/>
      <protection hidden="1"/>
    </xf>
    <xf numFmtId="0" fontId="57" fillId="0" borderId="16" xfId="0" applyFont="1" applyBorder="1" applyAlignment="1" applyProtection="1">
      <alignment horizontal="center" vertical="center" wrapText="1"/>
      <protection hidden="1"/>
    </xf>
    <xf numFmtId="0" fontId="57" fillId="0" borderId="32" xfId="0" applyFont="1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 wrapText="1"/>
      <protection hidden="1"/>
    </xf>
    <xf numFmtId="0" fontId="14" fillId="0" borderId="5" xfId="0" applyFont="1" applyBorder="1" applyAlignment="1" applyProtection="1">
      <alignment horizontal="center" vertical="center" wrapText="1"/>
      <protection hidden="1"/>
    </xf>
    <xf numFmtId="0" fontId="14" fillId="0" borderId="6" xfId="0" applyFont="1" applyBorder="1" applyAlignment="1" applyProtection="1">
      <alignment horizontal="center" vertical="center" wrapText="1"/>
      <protection hidden="1"/>
    </xf>
    <xf numFmtId="0" fontId="14" fillId="0" borderId="10" xfId="0" applyFont="1" applyBorder="1" applyAlignment="1" applyProtection="1">
      <alignment horizontal="center" vertical="center" wrapText="1"/>
      <protection hidden="1"/>
    </xf>
    <xf numFmtId="0" fontId="14" fillId="0" borderId="0" xfId="0" applyFont="1" applyBorder="1" applyAlignment="1" applyProtection="1">
      <alignment horizontal="center" vertical="center" wrapText="1"/>
      <protection hidden="1"/>
    </xf>
    <xf numFmtId="0" fontId="14" fillId="0" borderId="11" xfId="0" applyFont="1" applyBorder="1" applyAlignment="1" applyProtection="1">
      <alignment horizontal="center" vertical="center" wrapText="1"/>
      <protection hidden="1"/>
    </xf>
    <xf numFmtId="0" fontId="14" fillId="0" borderId="7" xfId="0" applyFont="1" applyBorder="1" applyAlignment="1" applyProtection="1">
      <alignment horizontal="center" vertical="center" wrapText="1"/>
      <protection hidden="1"/>
    </xf>
    <xf numFmtId="0" fontId="14" fillId="0" borderId="8" xfId="0" applyFont="1" applyBorder="1" applyAlignment="1" applyProtection="1">
      <alignment horizontal="center" vertical="center" wrapText="1"/>
      <protection hidden="1"/>
    </xf>
    <xf numFmtId="0" fontId="14" fillId="0" borderId="9" xfId="0" applyFont="1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 applyProtection="1">
      <alignment horizontal="center" vertic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59" fillId="0" borderId="0" xfId="0" applyFont="1" applyBorder="1" applyAlignment="1" applyProtection="1">
      <alignment horizontal="center"/>
      <protection hidden="1"/>
    </xf>
    <xf numFmtId="0" fontId="43" fillId="0" borderId="0" xfId="0" applyFont="1" applyBorder="1" applyAlignment="1" applyProtection="1">
      <alignment horizontal="left" vertical="center"/>
      <protection hidden="1"/>
    </xf>
    <xf numFmtId="0" fontId="14" fillId="0" borderId="10" xfId="0" applyFont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alignment horizontal="center" vertical="center"/>
      <protection hidden="1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0" borderId="7" xfId="0" applyFont="1" applyBorder="1" applyAlignment="1" applyProtection="1">
      <alignment horizontal="center" vertical="center"/>
      <protection hidden="1"/>
    </xf>
    <xf numFmtId="0" fontId="14" fillId="0" borderId="8" xfId="0" applyFont="1" applyBorder="1" applyAlignment="1" applyProtection="1">
      <alignment horizontal="center" vertical="center"/>
      <protection hidden="1"/>
    </xf>
    <xf numFmtId="0" fontId="14" fillId="0" borderId="9" xfId="0" applyFont="1" applyBorder="1" applyAlignment="1" applyProtection="1">
      <alignment horizontal="center" vertical="center"/>
      <protection hidden="1"/>
    </xf>
    <xf numFmtId="0" fontId="18" fillId="4" borderId="0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Border="1" applyAlignment="1" applyProtection="1">
      <alignment horizontal="center" vertical="center" wrapText="1"/>
      <protection hidden="1"/>
    </xf>
    <xf numFmtId="0" fontId="14" fillId="0" borderId="17" xfId="0" applyFont="1" applyFill="1" applyBorder="1" applyAlignment="1" applyProtection="1">
      <alignment horizontal="center" vertical="center" wrapText="1"/>
      <protection locked="0"/>
    </xf>
    <xf numFmtId="0" fontId="14" fillId="0" borderId="18" xfId="0" applyFont="1" applyFill="1" applyBorder="1" applyAlignment="1" applyProtection="1">
      <alignment horizontal="center" vertical="center" wrapText="1"/>
      <protection locked="0"/>
    </xf>
    <xf numFmtId="0" fontId="14" fillId="0" borderId="19" xfId="0" applyFont="1" applyFill="1" applyBorder="1" applyAlignment="1" applyProtection="1">
      <alignment horizontal="center" vertical="center" wrapText="1"/>
      <protection locked="0"/>
    </xf>
    <xf numFmtId="0" fontId="14" fillId="0" borderId="20" xfId="0" applyFont="1" applyFill="1" applyBorder="1" applyAlignment="1" applyProtection="1">
      <alignment horizontal="center" vertical="center" wrapText="1"/>
      <protection locked="0"/>
    </xf>
    <xf numFmtId="0" fontId="14" fillId="0" borderId="21" xfId="0" applyFont="1" applyFill="1" applyBorder="1" applyAlignment="1" applyProtection="1">
      <alignment horizontal="center" vertical="center" wrapText="1"/>
      <protection locked="0"/>
    </xf>
    <xf numFmtId="0" fontId="14" fillId="0" borderId="22" xfId="0" applyFont="1" applyFill="1" applyBorder="1" applyAlignment="1" applyProtection="1">
      <alignment horizontal="center" vertical="center" wrapText="1"/>
      <protection locked="0"/>
    </xf>
    <xf numFmtId="0" fontId="38" fillId="0" borderId="0" xfId="0" applyFont="1" applyBorder="1" applyAlignment="1" applyProtection="1">
      <alignment horizontal="right" vertical="center"/>
      <protection hidden="1"/>
    </xf>
    <xf numFmtId="0" fontId="34" fillId="0" borderId="2" xfId="0" applyFont="1" applyBorder="1" applyAlignment="1" applyProtection="1">
      <alignment horizontal="center" vertical="center" wrapText="1"/>
      <protection hidden="1"/>
    </xf>
    <xf numFmtId="0" fontId="40" fillId="0" borderId="0" xfId="0" applyFont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 wrapText="1"/>
      <protection locked="0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0" fillId="0" borderId="21" xfId="0" applyBorder="1" applyAlignment="1" applyProtection="1">
      <alignment horizontal="center" vertical="center" wrapText="1"/>
      <protection locked="0"/>
    </xf>
    <xf numFmtId="0" fontId="0" fillId="0" borderId="22" xfId="0" applyBorder="1" applyAlignment="1" applyProtection="1">
      <alignment horizontal="center" vertical="center" wrapText="1"/>
      <protection locked="0"/>
    </xf>
    <xf numFmtId="0" fontId="24" fillId="0" borderId="24" xfId="0" applyFont="1" applyFill="1" applyBorder="1" applyAlignment="1" applyProtection="1">
      <alignment horizontal="center" vertical="center" wrapText="1"/>
      <protection hidden="1"/>
    </xf>
    <xf numFmtId="0" fontId="24" fillId="0" borderId="18" xfId="0" applyFont="1" applyFill="1" applyBorder="1" applyAlignment="1" applyProtection="1">
      <alignment horizontal="center" vertical="center" wrapText="1"/>
      <protection hidden="1"/>
    </xf>
    <xf numFmtId="0" fontId="24" fillId="0" borderId="25" xfId="0" applyFont="1" applyFill="1" applyBorder="1" applyAlignment="1" applyProtection="1">
      <alignment horizontal="center" vertical="center" wrapText="1"/>
      <protection hidden="1"/>
    </xf>
    <xf numFmtId="0" fontId="24" fillId="0" borderId="10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center" vertical="center" wrapText="1"/>
      <protection hidden="1"/>
    </xf>
    <xf numFmtId="0" fontId="24" fillId="0" borderId="11" xfId="0" applyFont="1" applyFill="1" applyBorder="1" applyAlignment="1" applyProtection="1">
      <alignment horizontal="center" vertical="center" wrapText="1"/>
      <protection hidden="1"/>
    </xf>
    <xf numFmtId="0" fontId="24" fillId="0" borderId="7" xfId="0" applyFont="1" applyFill="1" applyBorder="1" applyAlignment="1" applyProtection="1">
      <alignment horizontal="center" vertical="center" wrapText="1"/>
      <protection hidden="1"/>
    </xf>
    <xf numFmtId="0" fontId="24" fillId="0" borderId="8" xfId="0" applyFont="1" applyFill="1" applyBorder="1" applyAlignment="1" applyProtection="1">
      <alignment horizontal="center" vertical="center" wrapText="1"/>
      <protection hidden="1"/>
    </xf>
    <xf numFmtId="0" fontId="24" fillId="0" borderId="9" xfId="0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Border="1" applyAlignment="1" applyProtection="1">
      <alignment horizontal="center"/>
      <protection hidden="1"/>
    </xf>
    <xf numFmtId="0" fontId="13" fillId="0" borderId="15" xfId="0" applyFont="1" applyBorder="1" applyAlignment="1" applyProtection="1">
      <alignment horizontal="center"/>
      <protection hidden="1"/>
    </xf>
    <xf numFmtId="0" fontId="13" fillId="0" borderId="14" xfId="0" applyFont="1" applyBorder="1" applyAlignment="1" applyProtection="1">
      <alignment horizontal="center"/>
      <protection hidden="1"/>
    </xf>
    <xf numFmtId="0" fontId="45" fillId="0" borderId="0" xfId="0" applyFont="1" applyAlignment="1" applyProtection="1">
      <alignment horizontal="right" vertical="center"/>
      <protection hidden="1"/>
    </xf>
    <xf numFmtId="0" fontId="45" fillId="0" borderId="11" xfId="0" applyFont="1" applyBorder="1" applyAlignment="1" applyProtection="1">
      <alignment horizontal="right" vertical="center"/>
      <protection hidden="1"/>
    </xf>
    <xf numFmtId="0" fontId="46" fillId="0" borderId="0" xfId="0" applyFont="1" applyFill="1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3" fillId="0" borderId="2" xfId="0" applyFont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4" fillId="0" borderId="2" xfId="0" applyFont="1" applyBorder="1" applyAlignment="1" applyProtection="1">
      <alignment horizontal="center" vertical="center"/>
      <protection hidden="1"/>
    </xf>
    <xf numFmtId="0" fontId="24" fillId="0" borderId="2" xfId="0" applyFont="1" applyBorder="1" applyAlignment="1" applyProtection="1">
      <alignment horizontal="center" vertical="center"/>
      <protection locked="0"/>
    </xf>
  </cellXfs>
  <cellStyles count="2">
    <cellStyle name="Collegamento ipertestuale" xfId="1" builtinId="8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usernames" Target="revisions/userNames.xml"/><Relationship Id="rId5" Type="http://schemas.openxmlformats.org/officeDocument/2006/relationships/externalLink" Target="externalLinks/externalLink1.xml"/><Relationship Id="rId10" Type="http://schemas.openxmlformats.org/officeDocument/2006/relationships/revisionHeaders" Target="revisions/revisionHeaders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050" b="1"/>
              <a:t>Coefficiente di esposizione </a:t>
            </a:r>
          </a:p>
        </c:rich>
      </c:tx>
      <c:layout>
        <c:manualLayout>
          <c:xMode val="edge"/>
          <c:yMode val="edge"/>
          <c:x val="0.35773040428192204"/>
          <c:y val="3.586030625056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373017719596909"/>
          <c:y val="0.15817260796031687"/>
          <c:w val="0.8088497977410678"/>
          <c:h val="0.69564775348723851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'dati nascosti'!$P$4:$P$104</c:f>
              <c:numCache>
                <c:formatCode>0.0</c:formatCode>
                <c:ptCount val="101"/>
                <c:pt idx="0">
                  <c:v>0</c:v>
                </c:pt>
                <c:pt idx="1">
                  <c:v>8.5714285714285715E-2</c:v>
                </c:pt>
                <c:pt idx="2">
                  <c:v>0.17142857142857143</c:v>
                </c:pt>
                <c:pt idx="3">
                  <c:v>0.25714285714285712</c:v>
                </c:pt>
                <c:pt idx="4">
                  <c:v>0.34285714285714286</c:v>
                </c:pt>
                <c:pt idx="5">
                  <c:v>0.4285714285714286</c:v>
                </c:pt>
                <c:pt idx="6">
                  <c:v>0.51428571428571423</c:v>
                </c:pt>
                <c:pt idx="7">
                  <c:v>0.6</c:v>
                </c:pt>
                <c:pt idx="8">
                  <c:v>0.68571428571428572</c:v>
                </c:pt>
                <c:pt idx="9">
                  <c:v>0.77142857142857146</c:v>
                </c:pt>
                <c:pt idx="10">
                  <c:v>0.85714285714285721</c:v>
                </c:pt>
                <c:pt idx="11">
                  <c:v>0.94285714285714284</c:v>
                </c:pt>
                <c:pt idx="12">
                  <c:v>1.0285714285714285</c:v>
                </c:pt>
                <c:pt idx="13">
                  <c:v>1.1142857142857143</c:v>
                </c:pt>
                <c:pt idx="14">
                  <c:v>1.2</c:v>
                </c:pt>
                <c:pt idx="15">
                  <c:v>1.2857142857142858</c:v>
                </c:pt>
                <c:pt idx="16">
                  <c:v>1.3714285714285714</c:v>
                </c:pt>
                <c:pt idx="17">
                  <c:v>1.4571428571428571</c:v>
                </c:pt>
                <c:pt idx="18">
                  <c:v>1.5428571428571429</c:v>
                </c:pt>
                <c:pt idx="19">
                  <c:v>1.6285714285714286</c:v>
                </c:pt>
                <c:pt idx="20">
                  <c:v>1.7142857142857144</c:v>
                </c:pt>
                <c:pt idx="21">
                  <c:v>1.8</c:v>
                </c:pt>
                <c:pt idx="22">
                  <c:v>1.8857142857142857</c:v>
                </c:pt>
                <c:pt idx="23">
                  <c:v>1.9714285714285715</c:v>
                </c:pt>
                <c:pt idx="24">
                  <c:v>2.0571428571428569</c:v>
                </c:pt>
                <c:pt idx="25">
                  <c:v>2.1428571428571428</c:v>
                </c:pt>
                <c:pt idx="26">
                  <c:v>2.2285714285714286</c:v>
                </c:pt>
                <c:pt idx="27">
                  <c:v>2.3142857142857145</c:v>
                </c:pt>
                <c:pt idx="28">
                  <c:v>2.4</c:v>
                </c:pt>
                <c:pt idx="29">
                  <c:v>2.4857142857142858</c:v>
                </c:pt>
                <c:pt idx="30">
                  <c:v>2.5714285714285716</c:v>
                </c:pt>
                <c:pt idx="31">
                  <c:v>2.657142857142857</c:v>
                </c:pt>
                <c:pt idx="32">
                  <c:v>2.7428571428571429</c:v>
                </c:pt>
                <c:pt idx="33">
                  <c:v>2.8285714285714287</c:v>
                </c:pt>
                <c:pt idx="34">
                  <c:v>2.9142857142857141</c:v>
                </c:pt>
                <c:pt idx="35">
                  <c:v>3</c:v>
                </c:pt>
                <c:pt idx="36">
                  <c:v>3.0857142857142859</c:v>
                </c:pt>
                <c:pt idx="37">
                  <c:v>3.1714285714285713</c:v>
                </c:pt>
                <c:pt idx="38">
                  <c:v>3.2571428571428571</c:v>
                </c:pt>
                <c:pt idx="39">
                  <c:v>3.342857142857143</c:v>
                </c:pt>
                <c:pt idx="40">
                  <c:v>3.4285714285714288</c:v>
                </c:pt>
                <c:pt idx="41">
                  <c:v>3.5142857142857142</c:v>
                </c:pt>
                <c:pt idx="42">
                  <c:v>3.6</c:v>
                </c:pt>
                <c:pt idx="43">
                  <c:v>3.6857142857142859</c:v>
                </c:pt>
                <c:pt idx="44">
                  <c:v>3.7714285714285714</c:v>
                </c:pt>
                <c:pt idx="45">
                  <c:v>3.8571428571428572</c:v>
                </c:pt>
                <c:pt idx="46">
                  <c:v>3.9428571428571431</c:v>
                </c:pt>
                <c:pt idx="47">
                  <c:v>4.0285714285714285</c:v>
                </c:pt>
                <c:pt idx="48">
                  <c:v>4.1142857142857139</c:v>
                </c:pt>
                <c:pt idx="49">
                  <c:v>4.2</c:v>
                </c:pt>
                <c:pt idx="50">
                  <c:v>4.2857142857142856</c:v>
                </c:pt>
                <c:pt idx="51">
                  <c:v>4.3714285714285719</c:v>
                </c:pt>
                <c:pt idx="52">
                  <c:v>4.4571428571428573</c:v>
                </c:pt>
                <c:pt idx="53">
                  <c:v>4.5428571428571427</c:v>
                </c:pt>
                <c:pt idx="54">
                  <c:v>4.628571428571429</c:v>
                </c:pt>
                <c:pt idx="55">
                  <c:v>4.7142857142857144</c:v>
                </c:pt>
                <c:pt idx="56">
                  <c:v>4.8</c:v>
                </c:pt>
                <c:pt idx="57">
                  <c:v>4.8857142857142861</c:v>
                </c:pt>
                <c:pt idx="58">
                  <c:v>4.9714285714285715</c:v>
                </c:pt>
                <c:pt idx="59">
                  <c:v>5.0571428571428569</c:v>
                </c:pt>
                <c:pt idx="60">
                  <c:v>5.1428571428571432</c:v>
                </c:pt>
                <c:pt idx="61">
                  <c:v>5.2285714285714286</c:v>
                </c:pt>
                <c:pt idx="62">
                  <c:v>5.3142857142857141</c:v>
                </c:pt>
                <c:pt idx="63">
                  <c:v>5.4</c:v>
                </c:pt>
                <c:pt idx="64">
                  <c:v>5.4857142857142858</c:v>
                </c:pt>
                <c:pt idx="65">
                  <c:v>5.5714285714285712</c:v>
                </c:pt>
                <c:pt idx="66">
                  <c:v>5.6571428571428575</c:v>
                </c:pt>
                <c:pt idx="67">
                  <c:v>5.7428571428571429</c:v>
                </c:pt>
                <c:pt idx="68">
                  <c:v>5.8285714285714283</c:v>
                </c:pt>
                <c:pt idx="69">
                  <c:v>5.9142857142857146</c:v>
                </c:pt>
                <c:pt idx="70">
                  <c:v>6</c:v>
                </c:pt>
                <c:pt idx="71">
                  <c:v>6.1</c:v>
                </c:pt>
                <c:pt idx="72">
                  <c:v>6.2</c:v>
                </c:pt>
                <c:pt idx="73">
                  <c:v>6.3</c:v>
                </c:pt>
                <c:pt idx="74">
                  <c:v>6.4</c:v>
                </c:pt>
                <c:pt idx="75">
                  <c:v>6.5</c:v>
                </c:pt>
                <c:pt idx="76">
                  <c:v>6.6</c:v>
                </c:pt>
                <c:pt idx="77">
                  <c:v>6.7</c:v>
                </c:pt>
                <c:pt idx="78">
                  <c:v>6.8</c:v>
                </c:pt>
                <c:pt idx="79">
                  <c:v>6.9</c:v>
                </c:pt>
                <c:pt idx="80">
                  <c:v>7</c:v>
                </c:pt>
                <c:pt idx="81">
                  <c:v>7.1</c:v>
                </c:pt>
                <c:pt idx="82">
                  <c:v>7.2</c:v>
                </c:pt>
                <c:pt idx="83">
                  <c:v>7.3</c:v>
                </c:pt>
                <c:pt idx="84">
                  <c:v>7.4</c:v>
                </c:pt>
                <c:pt idx="85">
                  <c:v>7.5</c:v>
                </c:pt>
                <c:pt idx="86">
                  <c:v>7.6</c:v>
                </c:pt>
                <c:pt idx="87">
                  <c:v>7.7</c:v>
                </c:pt>
                <c:pt idx="88">
                  <c:v>7.8</c:v>
                </c:pt>
                <c:pt idx="89">
                  <c:v>7.9</c:v>
                </c:pt>
                <c:pt idx="90">
                  <c:v>8</c:v>
                </c:pt>
                <c:pt idx="91">
                  <c:v>8.1</c:v>
                </c:pt>
                <c:pt idx="92">
                  <c:v>8.1999999999999993</c:v>
                </c:pt>
                <c:pt idx="93">
                  <c:v>8.3000000000000007</c:v>
                </c:pt>
                <c:pt idx="94">
                  <c:v>8.4</c:v>
                </c:pt>
                <c:pt idx="95">
                  <c:v>8.5</c:v>
                </c:pt>
                <c:pt idx="96">
                  <c:v>8.6</c:v>
                </c:pt>
                <c:pt idx="97">
                  <c:v>8.6999999999999993</c:v>
                </c:pt>
                <c:pt idx="98">
                  <c:v>8.8000000000000007</c:v>
                </c:pt>
                <c:pt idx="99">
                  <c:v>8.9</c:v>
                </c:pt>
                <c:pt idx="100">
                  <c:v>9</c:v>
                </c:pt>
              </c:numCache>
            </c:numRef>
          </c:xVal>
          <c:yVal>
            <c:numRef>
              <c:f>'dati nascosti'!$Q$4:$Q$104</c:f>
              <c:numCache>
                <c:formatCode>0.000</c:formatCode>
                <c:ptCount val="101"/>
                <c:pt idx="0">
                  <c:v>1.6342119731764906</c:v>
                </c:pt>
                <c:pt idx="1">
                  <c:v>1.6342119731764906</c:v>
                </c:pt>
                <c:pt idx="2">
                  <c:v>1.6342119731764906</c:v>
                </c:pt>
                <c:pt idx="3">
                  <c:v>1.6342119731764906</c:v>
                </c:pt>
                <c:pt idx="4">
                  <c:v>1.6342119731764906</c:v>
                </c:pt>
                <c:pt idx="5">
                  <c:v>1.6342119731764906</c:v>
                </c:pt>
                <c:pt idx="6">
                  <c:v>1.6342119731764906</c:v>
                </c:pt>
                <c:pt idx="7">
                  <c:v>1.6342119731764906</c:v>
                </c:pt>
                <c:pt idx="8">
                  <c:v>1.6342119731764906</c:v>
                </c:pt>
                <c:pt idx="9">
                  <c:v>1.6342119731764906</c:v>
                </c:pt>
                <c:pt idx="10">
                  <c:v>1.6342119731764906</c:v>
                </c:pt>
                <c:pt idx="11">
                  <c:v>1.6342119731764906</c:v>
                </c:pt>
                <c:pt idx="12">
                  <c:v>1.6342119731764906</c:v>
                </c:pt>
                <c:pt idx="13">
                  <c:v>1.6342119731764906</c:v>
                </c:pt>
                <c:pt idx="14">
                  <c:v>1.6342119731764906</c:v>
                </c:pt>
                <c:pt idx="15">
                  <c:v>1.6342119731764906</c:v>
                </c:pt>
                <c:pt idx="16">
                  <c:v>1.6342119731764906</c:v>
                </c:pt>
                <c:pt idx="17">
                  <c:v>1.6342119731764906</c:v>
                </c:pt>
                <c:pt idx="18">
                  <c:v>1.6342119731764906</c:v>
                </c:pt>
                <c:pt idx="19">
                  <c:v>1.6342119731764906</c:v>
                </c:pt>
                <c:pt idx="20">
                  <c:v>1.6342119731764906</c:v>
                </c:pt>
                <c:pt idx="21">
                  <c:v>1.6342119731764906</c:v>
                </c:pt>
                <c:pt idx="22">
                  <c:v>1.6342119731764906</c:v>
                </c:pt>
                <c:pt idx="23">
                  <c:v>1.6342119731764906</c:v>
                </c:pt>
                <c:pt idx="24">
                  <c:v>1.6342119731764906</c:v>
                </c:pt>
                <c:pt idx="25">
                  <c:v>1.6342119731764906</c:v>
                </c:pt>
                <c:pt idx="26">
                  <c:v>1.6342119731764906</c:v>
                </c:pt>
                <c:pt idx="27">
                  <c:v>1.6342119731764906</c:v>
                </c:pt>
                <c:pt idx="28">
                  <c:v>1.6342119731764906</c:v>
                </c:pt>
                <c:pt idx="29">
                  <c:v>1.6342119731764906</c:v>
                </c:pt>
                <c:pt idx="30">
                  <c:v>1.6342119731764906</c:v>
                </c:pt>
                <c:pt idx="31">
                  <c:v>1.6342119731764906</c:v>
                </c:pt>
                <c:pt idx="32">
                  <c:v>1.6342119731764906</c:v>
                </c:pt>
                <c:pt idx="33">
                  <c:v>1.6342119731764906</c:v>
                </c:pt>
                <c:pt idx="34">
                  <c:v>1.6342119731764906</c:v>
                </c:pt>
                <c:pt idx="35">
                  <c:v>1.6342119731764906</c:v>
                </c:pt>
                <c:pt idx="36">
                  <c:v>1.6342119731764906</c:v>
                </c:pt>
                <c:pt idx="37">
                  <c:v>1.6342119731764906</c:v>
                </c:pt>
                <c:pt idx="38">
                  <c:v>1.6342119731764906</c:v>
                </c:pt>
                <c:pt idx="39">
                  <c:v>1.6342119731764906</c:v>
                </c:pt>
                <c:pt idx="40">
                  <c:v>1.6342119731764906</c:v>
                </c:pt>
                <c:pt idx="41">
                  <c:v>1.6342119731764906</c:v>
                </c:pt>
                <c:pt idx="42">
                  <c:v>1.6342119731764906</c:v>
                </c:pt>
                <c:pt idx="43">
                  <c:v>1.6342119731764906</c:v>
                </c:pt>
                <c:pt idx="44">
                  <c:v>1.6342119731764906</c:v>
                </c:pt>
                <c:pt idx="45">
                  <c:v>1.6342119731764906</c:v>
                </c:pt>
                <c:pt idx="46">
                  <c:v>1.6342119731764906</c:v>
                </c:pt>
                <c:pt idx="47">
                  <c:v>1.6342119731764906</c:v>
                </c:pt>
                <c:pt idx="48">
                  <c:v>1.6342119731764906</c:v>
                </c:pt>
                <c:pt idx="49">
                  <c:v>1.6342119731764906</c:v>
                </c:pt>
                <c:pt idx="50">
                  <c:v>1.6342119731764906</c:v>
                </c:pt>
                <c:pt idx="51">
                  <c:v>1.6342119731764906</c:v>
                </c:pt>
                <c:pt idx="52">
                  <c:v>1.6342119731764906</c:v>
                </c:pt>
                <c:pt idx="53">
                  <c:v>1.6342119731764906</c:v>
                </c:pt>
                <c:pt idx="54">
                  <c:v>1.6342119731764906</c:v>
                </c:pt>
                <c:pt idx="55">
                  <c:v>1.6342119731764906</c:v>
                </c:pt>
                <c:pt idx="56">
                  <c:v>1.6342119731764906</c:v>
                </c:pt>
                <c:pt idx="57">
                  <c:v>1.6342119731764906</c:v>
                </c:pt>
                <c:pt idx="58">
                  <c:v>1.6342119731764906</c:v>
                </c:pt>
                <c:pt idx="59">
                  <c:v>1.6342119731764906</c:v>
                </c:pt>
                <c:pt idx="60">
                  <c:v>1.6342119731764906</c:v>
                </c:pt>
                <c:pt idx="61">
                  <c:v>1.6342119731764906</c:v>
                </c:pt>
                <c:pt idx="62">
                  <c:v>1.6342119731764906</c:v>
                </c:pt>
                <c:pt idx="63">
                  <c:v>1.6342119731764906</c:v>
                </c:pt>
                <c:pt idx="64">
                  <c:v>1.6342119731764906</c:v>
                </c:pt>
                <c:pt idx="65">
                  <c:v>1.6342119731764906</c:v>
                </c:pt>
                <c:pt idx="66">
                  <c:v>1.6342119731764906</c:v>
                </c:pt>
                <c:pt idx="67">
                  <c:v>1.6342119731764906</c:v>
                </c:pt>
                <c:pt idx="68">
                  <c:v>1.6342119731764906</c:v>
                </c:pt>
                <c:pt idx="69">
                  <c:v>1.6342119731764906</c:v>
                </c:pt>
                <c:pt idx="70">
                  <c:v>1.6342119731764906</c:v>
                </c:pt>
                <c:pt idx="71">
                  <c:v>1.6342119731764906</c:v>
                </c:pt>
                <c:pt idx="72">
                  <c:v>1.6342119731764906</c:v>
                </c:pt>
                <c:pt idx="73">
                  <c:v>1.6342119731764906</c:v>
                </c:pt>
                <c:pt idx="74">
                  <c:v>1.6342119731764906</c:v>
                </c:pt>
                <c:pt idx="75">
                  <c:v>1.6342119731764906</c:v>
                </c:pt>
                <c:pt idx="76">
                  <c:v>1.6342119731764906</c:v>
                </c:pt>
                <c:pt idx="77">
                  <c:v>1.6342119731764906</c:v>
                </c:pt>
                <c:pt idx="78">
                  <c:v>1.6342119731764906</c:v>
                </c:pt>
                <c:pt idx="79">
                  <c:v>1.6342119731764906</c:v>
                </c:pt>
                <c:pt idx="80">
                  <c:v>1.6342119731764906</c:v>
                </c:pt>
                <c:pt idx="81">
                  <c:v>1.6342119731764906</c:v>
                </c:pt>
                <c:pt idx="82">
                  <c:v>1.6342119731764906</c:v>
                </c:pt>
                <c:pt idx="83">
                  <c:v>1.6342119731764906</c:v>
                </c:pt>
                <c:pt idx="84">
                  <c:v>1.6342119731764906</c:v>
                </c:pt>
                <c:pt idx="85">
                  <c:v>1.6342119731764906</c:v>
                </c:pt>
                <c:pt idx="86">
                  <c:v>1.6342119731764906</c:v>
                </c:pt>
                <c:pt idx="87">
                  <c:v>1.6342119731764906</c:v>
                </c:pt>
                <c:pt idx="88">
                  <c:v>1.6342119731764906</c:v>
                </c:pt>
                <c:pt idx="89">
                  <c:v>1.6342119731764906</c:v>
                </c:pt>
                <c:pt idx="90">
                  <c:v>1.6342119731764906</c:v>
                </c:pt>
                <c:pt idx="91">
                  <c:v>1.6423764975322275</c:v>
                </c:pt>
                <c:pt idx="92">
                  <c:v>1.6504555054087651</c:v>
                </c:pt>
                <c:pt idx="93">
                  <c:v>1.6584508933320428</c:v>
                </c:pt>
                <c:pt idx="94">
                  <c:v>1.6663644938927464</c:v>
                </c:pt>
                <c:pt idx="95">
                  <c:v>1.6741980786245327</c:v>
                </c:pt>
                <c:pt idx="96">
                  <c:v>1.681953360720827</c:v>
                </c:pt>
                <c:pt idx="97">
                  <c:v>1.6896319976010012</c:v>
                </c:pt>
                <c:pt idx="98">
                  <c:v>1.6972355933358967</c:v>
                </c:pt>
                <c:pt idx="99">
                  <c:v>1.704765700941884</c:v>
                </c:pt>
                <c:pt idx="100">
                  <c:v>1.7122238245519728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18785504"/>
        <c:axId val="-1218776800"/>
      </c:scatterChart>
      <c:valAx>
        <c:axId val="-1218785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Quota</a:t>
                </a:r>
                <a:r>
                  <a:rPr lang="it-IT" baseline="0"/>
                  <a:t> del fabbricato [m]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218776800"/>
        <c:crosses val="autoZero"/>
        <c:crossBetween val="midCat"/>
      </c:valAx>
      <c:valAx>
        <c:axId val="-1218776800"/>
        <c:scaling>
          <c:orientation val="minMax"/>
          <c:min val="1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800"/>
                  <a:t>c</a:t>
                </a:r>
                <a:r>
                  <a:rPr lang="it-IT" sz="1050"/>
                  <a:t>e</a:t>
                </a:r>
                <a:endParaRPr lang="it-IT" sz="18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218785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it-IT" sz="1100"/>
              <a:t>Pressione del vento (riferita all</a:t>
            </a:r>
            <a:r>
              <a:rPr lang="it-IT" sz="1100" baseline="0"/>
              <a:t>a parete sopravento)</a:t>
            </a:r>
            <a:endParaRPr lang="it-IT" sz="1100"/>
          </a:p>
        </c:rich>
      </c:tx>
      <c:layout>
        <c:manualLayout>
          <c:xMode val="edge"/>
          <c:yMode val="edge"/>
          <c:x val="0.16553649975943974"/>
          <c:y val="2.8971191913615676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'dati nascosti'!$R$4:$R$74</c:f>
              <c:numCache>
                <c:formatCode>0.00</c:formatCode>
                <c:ptCount val="71"/>
                <c:pt idx="0">
                  <c:v>0.76986188880277173</c:v>
                </c:pt>
                <c:pt idx="1">
                  <c:v>0.76986188880277173</c:v>
                </c:pt>
                <c:pt idx="2">
                  <c:v>0.76986188880277173</c:v>
                </c:pt>
                <c:pt idx="3">
                  <c:v>0.76986188880277173</c:v>
                </c:pt>
                <c:pt idx="4">
                  <c:v>0.76986188880277173</c:v>
                </c:pt>
                <c:pt idx="5">
                  <c:v>0.76986188880277173</c:v>
                </c:pt>
                <c:pt idx="6">
                  <c:v>0.76986188880277173</c:v>
                </c:pt>
                <c:pt idx="7">
                  <c:v>0.76986188880277173</c:v>
                </c:pt>
                <c:pt idx="8">
                  <c:v>0.76986188880277173</c:v>
                </c:pt>
                <c:pt idx="9">
                  <c:v>0.76986188880277173</c:v>
                </c:pt>
                <c:pt idx="10">
                  <c:v>0.76986188880277173</c:v>
                </c:pt>
                <c:pt idx="11">
                  <c:v>0.76986188880277173</c:v>
                </c:pt>
                <c:pt idx="12">
                  <c:v>0.76986188880277173</c:v>
                </c:pt>
                <c:pt idx="13">
                  <c:v>0.76986188880277173</c:v>
                </c:pt>
                <c:pt idx="14">
                  <c:v>0.76986188880277173</c:v>
                </c:pt>
                <c:pt idx="15">
                  <c:v>0.76986188880277173</c:v>
                </c:pt>
                <c:pt idx="16">
                  <c:v>0.76986188880277173</c:v>
                </c:pt>
                <c:pt idx="17">
                  <c:v>0.76986188880277173</c:v>
                </c:pt>
                <c:pt idx="18">
                  <c:v>0.76986188880277173</c:v>
                </c:pt>
                <c:pt idx="19">
                  <c:v>0.76986188880277173</c:v>
                </c:pt>
                <c:pt idx="20">
                  <c:v>0.76986188880277173</c:v>
                </c:pt>
                <c:pt idx="21">
                  <c:v>0.76986188880277173</c:v>
                </c:pt>
                <c:pt idx="22">
                  <c:v>0.76986188880277173</c:v>
                </c:pt>
                <c:pt idx="23">
                  <c:v>0.76986188880277173</c:v>
                </c:pt>
                <c:pt idx="24">
                  <c:v>0.76986188880277173</c:v>
                </c:pt>
                <c:pt idx="25">
                  <c:v>0.76986188880277173</c:v>
                </c:pt>
                <c:pt idx="26">
                  <c:v>0.76986188880277173</c:v>
                </c:pt>
                <c:pt idx="27">
                  <c:v>0.76986188880277173</c:v>
                </c:pt>
                <c:pt idx="28">
                  <c:v>0.76986188880277173</c:v>
                </c:pt>
                <c:pt idx="29">
                  <c:v>0.76986188880277173</c:v>
                </c:pt>
                <c:pt idx="30">
                  <c:v>0.76986188880277173</c:v>
                </c:pt>
                <c:pt idx="31">
                  <c:v>0.76986188880277173</c:v>
                </c:pt>
                <c:pt idx="32">
                  <c:v>0.76986188880277173</c:v>
                </c:pt>
                <c:pt idx="33">
                  <c:v>0.76986188880277173</c:v>
                </c:pt>
                <c:pt idx="34">
                  <c:v>0.76986188880277173</c:v>
                </c:pt>
                <c:pt idx="35">
                  <c:v>0.76986188880277173</c:v>
                </c:pt>
                <c:pt idx="36">
                  <c:v>0.76986188880277173</c:v>
                </c:pt>
                <c:pt idx="37">
                  <c:v>0.76986188880277173</c:v>
                </c:pt>
                <c:pt idx="38">
                  <c:v>0.76986188880277173</c:v>
                </c:pt>
                <c:pt idx="39">
                  <c:v>0.76986188880277173</c:v>
                </c:pt>
                <c:pt idx="40">
                  <c:v>0.76986188880277173</c:v>
                </c:pt>
                <c:pt idx="41">
                  <c:v>0.76986188880277173</c:v>
                </c:pt>
                <c:pt idx="42">
                  <c:v>0.76986188880277173</c:v>
                </c:pt>
                <c:pt idx="43">
                  <c:v>0.76986188880277173</c:v>
                </c:pt>
                <c:pt idx="44">
                  <c:v>0.76986188880277173</c:v>
                </c:pt>
                <c:pt idx="45">
                  <c:v>0.76986188880277173</c:v>
                </c:pt>
                <c:pt idx="46">
                  <c:v>0.76986188880277173</c:v>
                </c:pt>
                <c:pt idx="47">
                  <c:v>0.76986188880277173</c:v>
                </c:pt>
                <c:pt idx="48">
                  <c:v>0.76986188880277173</c:v>
                </c:pt>
                <c:pt idx="49">
                  <c:v>0.76986188880277173</c:v>
                </c:pt>
                <c:pt idx="50">
                  <c:v>0.76986188880277173</c:v>
                </c:pt>
                <c:pt idx="51">
                  <c:v>0.76986188880277173</c:v>
                </c:pt>
                <c:pt idx="52">
                  <c:v>0.76986188880277173</c:v>
                </c:pt>
                <c:pt idx="53">
                  <c:v>0.76986188880277173</c:v>
                </c:pt>
                <c:pt idx="54">
                  <c:v>0.76986188880277173</c:v>
                </c:pt>
                <c:pt idx="55">
                  <c:v>0.76986188880277173</c:v>
                </c:pt>
                <c:pt idx="56">
                  <c:v>0.76986188880277173</c:v>
                </c:pt>
                <c:pt idx="57">
                  <c:v>0.76986188880277173</c:v>
                </c:pt>
                <c:pt idx="58">
                  <c:v>0.76986188880277173</c:v>
                </c:pt>
                <c:pt idx="59">
                  <c:v>0.76986188880277173</c:v>
                </c:pt>
                <c:pt idx="60">
                  <c:v>0.76986188880277173</c:v>
                </c:pt>
                <c:pt idx="61">
                  <c:v>0.76986188880277173</c:v>
                </c:pt>
                <c:pt idx="62">
                  <c:v>0.76986188880277173</c:v>
                </c:pt>
                <c:pt idx="63">
                  <c:v>0.76986188880277173</c:v>
                </c:pt>
                <c:pt idx="64">
                  <c:v>0.76986188880277173</c:v>
                </c:pt>
                <c:pt idx="65">
                  <c:v>0.76986188880277173</c:v>
                </c:pt>
                <c:pt idx="66">
                  <c:v>0.76986188880277173</c:v>
                </c:pt>
                <c:pt idx="67">
                  <c:v>0.76986188880277173</c:v>
                </c:pt>
                <c:pt idx="68">
                  <c:v>0.76986188880277173</c:v>
                </c:pt>
                <c:pt idx="69">
                  <c:v>0.76986188880277173</c:v>
                </c:pt>
                <c:pt idx="70">
                  <c:v>0.76986188880277173</c:v>
                </c:pt>
              </c:numCache>
            </c:numRef>
          </c:xVal>
          <c:yVal>
            <c:numRef>
              <c:f>'dati nascosti'!$P$4:$P$74</c:f>
              <c:numCache>
                <c:formatCode>0.0</c:formatCode>
                <c:ptCount val="71"/>
                <c:pt idx="0">
                  <c:v>0</c:v>
                </c:pt>
                <c:pt idx="1">
                  <c:v>8.5714285714285715E-2</c:v>
                </c:pt>
                <c:pt idx="2">
                  <c:v>0.17142857142857143</c:v>
                </c:pt>
                <c:pt idx="3">
                  <c:v>0.25714285714285712</c:v>
                </c:pt>
                <c:pt idx="4">
                  <c:v>0.34285714285714286</c:v>
                </c:pt>
                <c:pt idx="5">
                  <c:v>0.4285714285714286</c:v>
                </c:pt>
                <c:pt idx="6">
                  <c:v>0.51428571428571423</c:v>
                </c:pt>
                <c:pt idx="7">
                  <c:v>0.6</c:v>
                </c:pt>
                <c:pt idx="8">
                  <c:v>0.68571428571428572</c:v>
                </c:pt>
                <c:pt idx="9">
                  <c:v>0.77142857142857146</c:v>
                </c:pt>
                <c:pt idx="10">
                  <c:v>0.85714285714285721</c:v>
                </c:pt>
                <c:pt idx="11">
                  <c:v>0.94285714285714284</c:v>
                </c:pt>
                <c:pt idx="12">
                  <c:v>1.0285714285714285</c:v>
                </c:pt>
                <c:pt idx="13">
                  <c:v>1.1142857142857143</c:v>
                </c:pt>
                <c:pt idx="14">
                  <c:v>1.2</c:v>
                </c:pt>
                <c:pt idx="15">
                  <c:v>1.2857142857142858</c:v>
                </c:pt>
                <c:pt idx="16">
                  <c:v>1.3714285714285714</c:v>
                </c:pt>
                <c:pt idx="17">
                  <c:v>1.4571428571428571</c:v>
                </c:pt>
                <c:pt idx="18">
                  <c:v>1.5428571428571429</c:v>
                </c:pt>
                <c:pt idx="19">
                  <c:v>1.6285714285714286</c:v>
                </c:pt>
                <c:pt idx="20">
                  <c:v>1.7142857142857144</c:v>
                </c:pt>
                <c:pt idx="21">
                  <c:v>1.8</c:v>
                </c:pt>
                <c:pt idx="22">
                  <c:v>1.8857142857142857</c:v>
                </c:pt>
                <c:pt idx="23">
                  <c:v>1.9714285714285715</c:v>
                </c:pt>
                <c:pt idx="24">
                  <c:v>2.0571428571428569</c:v>
                </c:pt>
                <c:pt idx="25">
                  <c:v>2.1428571428571428</c:v>
                </c:pt>
                <c:pt idx="26">
                  <c:v>2.2285714285714286</c:v>
                </c:pt>
                <c:pt idx="27">
                  <c:v>2.3142857142857145</c:v>
                </c:pt>
                <c:pt idx="28">
                  <c:v>2.4</c:v>
                </c:pt>
                <c:pt idx="29">
                  <c:v>2.4857142857142858</c:v>
                </c:pt>
                <c:pt idx="30">
                  <c:v>2.5714285714285716</c:v>
                </c:pt>
                <c:pt idx="31">
                  <c:v>2.657142857142857</c:v>
                </c:pt>
                <c:pt idx="32">
                  <c:v>2.7428571428571429</c:v>
                </c:pt>
                <c:pt idx="33">
                  <c:v>2.8285714285714287</c:v>
                </c:pt>
                <c:pt idx="34">
                  <c:v>2.9142857142857141</c:v>
                </c:pt>
                <c:pt idx="35">
                  <c:v>3</c:v>
                </c:pt>
                <c:pt idx="36">
                  <c:v>3.0857142857142859</c:v>
                </c:pt>
                <c:pt idx="37">
                  <c:v>3.1714285714285713</c:v>
                </c:pt>
                <c:pt idx="38">
                  <c:v>3.2571428571428571</c:v>
                </c:pt>
                <c:pt idx="39">
                  <c:v>3.342857142857143</c:v>
                </c:pt>
                <c:pt idx="40">
                  <c:v>3.4285714285714288</c:v>
                </c:pt>
                <c:pt idx="41">
                  <c:v>3.5142857142857142</c:v>
                </c:pt>
                <c:pt idx="42">
                  <c:v>3.6</c:v>
                </c:pt>
                <c:pt idx="43">
                  <c:v>3.6857142857142859</c:v>
                </c:pt>
                <c:pt idx="44">
                  <c:v>3.7714285714285714</c:v>
                </c:pt>
                <c:pt idx="45">
                  <c:v>3.8571428571428572</c:v>
                </c:pt>
                <c:pt idx="46">
                  <c:v>3.9428571428571431</c:v>
                </c:pt>
                <c:pt idx="47">
                  <c:v>4.0285714285714285</c:v>
                </c:pt>
                <c:pt idx="48">
                  <c:v>4.1142857142857139</c:v>
                </c:pt>
                <c:pt idx="49">
                  <c:v>4.2</c:v>
                </c:pt>
                <c:pt idx="50">
                  <c:v>4.2857142857142856</c:v>
                </c:pt>
                <c:pt idx="51">
                  <c:v>4.3714285714285719</c:v>
                </c:pt>
                <c:pt idx="52">
                  <c:v>4.4571428571428573</c:v>
                </c:pt>
                <c:pt idx="53">
                  <c:v>4.5428571428571427</c:v>
                </c:pt>
                <c:pt idx="54">
                  <c:v>4.628571428571429</c:v>
                </c:pt>
                <c:pt idx="55">
                  <c:v>4.7142857142857144</c:v>
                </c:pt>
                <c:pt idx="56">
                  <c:v>4.8</c:v>
                </c:pt>
                <c:pt idx="57">
                  <c:v>4.8857142857142861</c:v>
                </c:pt>
                <c:pt idx="58">
                  <c:v>4.9714285714285715</c:v>
                </c:pt>
                <c:pt idx="59">
                  <c:v>5.0571428571428569</c:v>
                </c:pt>
                <c:pt idx="60">
                  <c:v>5.1428571428571432</c:v>
                </c:pt>
                <c:pt idx="61">
                  <c:v>5.2285714285714286</c:v>
                </c:pt>
                <c:pt idx="62">
                  <c:v>5.3142857142857141</c:v>
                </c:pt>
                <c:pt idx="63">
                  <c:v>5.4</c:v>
                </c:pt>
                <c:pt idx="64">
                  <c:v>5.4857142857142858</c:v>
                </c:pt>
                <c:pt idx="65">
                  <c:v>5.5714285714285712</c:v>
                </c:pt>
                <c:pt idx="66">
                  <c:v>5.6571428571428575</c:v>
                </c:pt>
                <c:pt idx="67">
                  <c:v>5.7428571428571429</c:v>
                </c:pt>
                <c:pt idx="68">
                  <c:v>5.8285714285714283</c:v>
                </c:pt>
                <c:pt idx="69">
                  <c:v>5.9142857142857146</c:v>
                </c:pt>
                <c:pt idx="70">
                  <c:v>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18784416"/>
        <c:axId val="-1218776256"/>
      </c:scatterChart>
      <c:valAx>
        <c:axId val="-121878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Pressione del vento [kN/m²]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218776256"/>
        <c:crosses val="autoZero"/>
        <c:crossBetween val="midCat"/>
      </c:valAx>
      <c:valAx>
        <c:axId val="-1218776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Quota del fabbricato [m]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-1218784416"/>
        <c:crosses val="autoZero"/>
        <c:crossBetween val="midCat"/>
      </c:valAx>
      <c:spPr>
        <a:noFill/>
      </c:spPr>
    </c:plotArea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it-IT" sz="1100"/>
              <a:t>Pressione del vento (riferita all</a:t>
            </a:r>
            <a:r>
              <a:rPr lang="it-IT" sz="1100" baseline="0"/>
              <a:t>a parete sottovento)</a:t>
            </a:r>
            <a:endParaRPr lang="it-IT" sz="1100"/>
          </a:p>
        </c:rich>
      </c:tx>
      <c:layout>
        <c:manualLayout>
          <c:xMode val="edge"/>
          <c:yMode val="edge"/>
          <c:x val="0.16553649975943979"/>
          <c:y val="2.8971191913615676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'dati nascosti'!$S$4:$S$75</c:f>
              <c:numCache>
                <c:formatCode>0.00</c:formatCode>
                <c:ptCount val="72"/>
                <c:pt idx="0">
                  <c:v>0.36953370662533047</c:v>
                </c:pt>
                <c:pt idx="1">
                  <c:v>0.36953370662533047</c:v>
                </c:pt>
                <c:pt idx="2">
                  <c:v>0.36953370662533047</c:v>
                </c:pt>
                <c:pt idx="3">
                  <c:v>0.36953370662533047</c:v>
                </c:pt>
                <c:pt idx="4">
                  <c:v>0.36953370662533047</c:v>
                </c:pt>
                <c:pt idx="5">
                  <c:v>0.36953370662533047</c:v>
                </c:pt>
                <c:pt idx="6">
                  <c:v>0.36953370662533047</c:v>
                </c:pt>
                <c:pt idx="7">
                  <c:v>0.36953370662533047</c:v>
                </c:pt>
                <c:pt idx="8">
                  <c:v>0.36953370662533047</c:v>
                </c:pt>
                <c:pt idx="9">
                  <c:v>0.36953370662533047</c:v>
                </c:pt>
                <c:pt idx="10">
                  <c:v>0.36953370662533047</c:v>
                </c:pt>
                <c:pt idx="11">
                  <c:v>0.36953370662533047</c:v>
                </c:pt>
                <c:pt idx="12">
                  <c:v>0.36953370662533047</c:v>
                </c:pt>
                <c:pt idx="13">
                  <c:v>0.36953370662533047</c:v>
                </c:pt>
                <c:pt idx="14">
                  <c:v>0.36953370662533047</c:v>
                </c:pt>
                <c:pt idx="15">
                  <c:v>0.36953370662533047</c:v>
                </c:pt>
                <c:pt idx="16">
                  <c:v>0.36953370662533047</c:v>
                </c:pt>
                <c:pt idx="17">
                  <c:v>0.36953370662533047</c:v>
                </c:pt>
                <c:pt idx="18">
                  <c:v>0.36953370662533047</c:v>
                </c:pt>
                <c:pt idx="19">
                  <c:v>0.36953370662533047</c:v>
                </c:pt>
                <c:pt idx="20">
                  <c:v>0.36953370662533047</c:v>
                </c:pt>
                <c:pt idx="21">
                  <c:v>0.36953370662533047</c:v>
                </c:pt>
                <c:pt idx="22">
                  <c:v>0.36953370662533047</c:v>
                </c:pt>
                <c:pt idx="23">
                  <c:v>0.36953370662533047</c:v>
                </c:pt>
                <c:pt idx="24">
                  <c:v>0.36953370662533047</c:v>
                </c:pt>
                <c:pt idx="25">
                  <c:v>0.36953370662533047</c:v>
                </c:pt>
                <c:pt idx="26">
                  <c:v>0.36953370662533047</c:v>
                </c:pt>
                <c:pt idx="27">
                  <c:v>0.36953370662533047</c:v>
                </c:pt>
                <c:pt idx="28">
                  <c:v>0.36953370662533047</c:v>
                </c:pt>
                <c:pt idx="29">
                  <c:v>0.36953370662533047</c:v>
                </c:pt>
                <c:pt idx="30">
                  <c:v>0.36953370662533047</c:v>
                </c:pt>
                <c:pt idx="31">
                  <c:v>0.36953370662533047</c:v>
                </c:pt>
                <c:pt idx="32">
                  <c:v>0.36953370662533047</c:v>
                </c:pt>
                <c:pt idx="33">
                  <c:v>0.36953370662533047</c:v>
                </c:pt>
                <c:pt idx="34">
                  <c:v>0.36953370662533047</c:v>
                </c:pt>
                <c:pt idx="35">
                  <c:v>0.36953370662533047</c:v>
                </c:pt>
                <c:pt idx="36">
                  <c:v>0.36953370662533047</c:v>
                </c:pt>
                <c:pt idx="37">
                  <c:v>0.36953370662533047</c:v>
                </c:pt>
                <c:pt idx="38">
                  <c:v>0.36953370662533047</c:v>
                </c:pt>
                <c:pt idx="39">
                  <c:v>0.36953370662533047</c:v>
                </c:pt>
                <c:pt idx="40">
                  <c:v>0.36953370662533047</c:v>
                </c:pt>
                <c:pt idx="41">
                  <c:v>0.36953370662533047</c:v>
                </c:pt>
                <c:pt idx="42">
                  <c:v>0.36953370662533047</c:v>
                </c:pt>
                <c:pt idx="43">
                  <c:v>0.36953370662533047</c:v>
                </c:pt>
                <c:pt idx="44">
                  <c:v>0.36953370662533047</c:v>
                </c:pt>
                <c:pt idx="45">
                  <c:v>0.36953370662533047</c:v>
                </c:pt>
                <c:pt idx="46">
                  <c:v>0.36953370662533047</c:v>
                </c:pt>
                <c:pt idx="47">
                  <c:v>0.36953370662533047</c:v>
                </c:pt>
                <c:pt idx="48">
                  <c:v>0.36953370662533047</c:v>
                </c:pt>
                <c:pt idx="49">
                  <c:v>0.36953370662533047</c:v>
                </c:pt>
                <c:pt idx="50">
                  <c:v>0.36953370662533047</c:v>
                </c:pt>
                <c:pt idx="51">
                  <c:v>0.36953370662533047</c:v>
                </c:pt>
                <c:pt idx="52">
                  <c:v>0.36953370662533047</c:v>
                </c:pt>
                <c:pt idx="53">
                  <c:v>0.36953370662533047</c:v>
                </c:pt>
                <c:pt idx="54">
                  <c:v>0.36953370662533047</c:v>
                </c:pt>
                <c:pt idx="55">
                  <c:v>0.36953370662533047</c:v>
                </c:pt>
                <c:pt idx="56">
                  <c:v>0.36953370662533047</c:v>
                </c:pt>
                <c:pt idx="57">
                  <c:v>0.36953370662533047</c:v>
                </c:pt>
                <c:pt idx="58">
                  <c:v>0.36953370662533047</c:v>
                </c:pt>
                <c:pt idx="59">
                  <c:v>0.36953370662533047</c:v>
                </c:pt>
                <c:pt idx="60">
                  <c:v>0.36953370662533047</c:v>
                </c:pt>
                <c:pt idx="61">
                  <c:v>0.36953370662533047</c:v>
                </c:pt>
                <c:pt idx="62">
                  <c:v>0.36953370662533047</c:v>
                </c:pt>
                <c:pt idx="63">
                  <c:v>0.36953370662533047</c:v>
                </c:pt>
                <c:pt idx="64">
                  <c:v>0.36953370662533047</c:v>
                </c:pt>
                <c:pt idx="65">
                  <c:v>0.36953370662533047</c:v>
                </c:pt>
                <c:pt idx="66">
                  <c:v>0.36953370662533047</c:v>
                </c:pt>
                <c:pt idx="67">
                  <c:v>0.36953370662533047</c:v>
                </c:pt>
                <c:pt idx="68">
                  <c:v>0.36953370662533047</c:v>
                </c:pt>
                <c:pt idx="69">
                  <c:v>0.36953370662533047</c:v>
                </c:pt>
                <c:pt idx="70">
                  <c:v>0.36953370662533047</c:v>
                </c:pt>
                <c:pt idx="71">
                  <c:v>0.36953370662533047</c:v>
                </c:pt>
              </c:numCache>
            </c:numRef>
          </c:xVal>
          <c:yVal>
            <c:numRef>
              <c:f>'dati nascosti'!$P$4:$P$74</c:f>
              <c:numCache>
                <c:formatCode>0.0</c:formatCode>
                <c:ptCount val="71"/>
                <c:pt idx="0">
                  <c:v>0</c:v>
                </c:pt>
                <c:pt idx="1">
                  <c:v>8.5714285714285715E-2</c:v>
                </c:pt>
                <c:pt idx="2">
                  <c:v>0.17142857142857143</c:v>
                </c:pt>
                <c:pt idx="3">
                  <c:v>0.25714285714285712</c:v>
                </c:pt>
                <c:pt idx="4">
                  <c:v>0.34285714285714286</c:v>
                </c:pt>
                <c:pt idx="5">
                  <c:v>0.4285714285714286</c:v>
                </c:pt>
                <c:pt idx="6">
                  <c:v>0.51428571428571423</c:v>
                </c:pt>
                <c:pt idx="7">
                  <c:v>0.6</c:v>
                </c:pt>
                <c:pt idx="8">
                  <c:v>0.68571428571428572</c:v>
                </c:pt>
                <c:pt idx="9">
                  <c:v>0.77142857142857146</c:v>
                </c:pt>
                <c:pt idx="10">
                  <c:v>0.85714285714285721</c:v>
                </c:pt>
                <c:pt idx="11">
                  <c:v>0.94285714285714284</c:v>
                </c:pt>
                <c:pt idx="12">
                  <c:v>1.0285714285714285</c:v>
                </c:pt>
                <c:pt idx="13">
                  <c:v>1.1142857142857143</c:v>
                </c:pt>
                <c:pt idx="14">
                  <c:v>1.2</c:v>
                </c:pt>
                <c:pt idx="15">
                  <c:v>1.2857142857142858</c:v>
                </c:pt>
                <c:pt idx="16">
                  <c:v>1.3714285714285714</c:v>
                </c:pt>
                <c:pt idx="17">
                  <c:v>1.4571428571428571</c:v>
                </c:pt>
                <c:pt idx="18">
                  <c:v>1.5428571428571429</c:v>
                </c:pt>
                <c:pt idx="19">
                  <c:v>1.6285714285714286</c:v>
                </c:pt>
                <c:pt idx="20">
                  <c:v>1.7142857142857144</c:v>
                </c:pt>
                <c:pt idx="21">
                  <c:v>1.8</c:v>
                </c:pt>
                <c:pt idx="22">
                  <c:v>1.8857142857142857</c:v>
                </c:pt>
                <c:pt idx="23">
                  <c:v>1.9714285714285715</c:v>
                </c:pt>
                <c:pt idx="24">
                  <c:v>2.0571428571428569</c:v>
                </c:pt>
                <c:pt idx="25">
                  <c:v>2.1428571428571428</c:v>
                </c:pt>
                <c:pt idx="26">
                  <c:v>2.2285714285714286</c:v>
                </c:pt>
                <c:pt idx="27">
                  <c:v>2.3142857142857145</c:v>
                </c:pt>
                <c:pt idx="28">
                  <c:v>2.4</c:v>
                </c:pt>
                <c:pt idx="29">
                  <c:v>2.4857142857142858</c:v>
                </c:pt>
                <c:pt idx="30">
                  <c:v>2.5714285714285716</c:v>
                </c:pt>
                <c:pt idx="31">
                  <c:v>2.657142857142857</c:v>
                </c:pt>
                <c:pt idx="32">
                  <c:v>2.7428571428571429</c:v>
                </c:pt>
                <c:pt idx="33">
                  <c:v>2.8285714285714287</c:v>
                </c:pt>
                <c:pt idx="34">
                  <c:v>2.9142857142857141</c:v>
                </c:pt>
                <c:pt idx="35">
                  <c:v>3</c:v>
                </c:pt>
                <c:pt idx="36">
                  <c:v>3.0857142857142859</c:v>
                </c:pt>
                <c:pt idx="37">
                  <c:v>3.1714285714285713</c:v>
                </c:pt>
                <c:pt idx="38">
                  <c:v>3.2571428571428571</c:v>
                </c:pt>
                <c:pt idx="39">
                  <c:v>3.342857142857143</c:v>
                </c:pt>
                <c:pt idx="40">
                  <c:v>3.4285714285714288</c:v>
                </c:pt>
                <c:pt idx="41">
                  <c:v>3.5142857142857142</c:v>
                </c:pt>
                <c:pt idx="42">
                  <c:v>3.6</c:v>
                </c:pt>
                <c:pt idx="43">
                  <c:v>3.6857142857142859</c:v>
                </c:pt>
                <c:pt idx="44">
                  <c:v>3.7714285714285714</c:v>
                </c:pt>
                <c:pt idx="45">
                  <c:v>3.8571428571428572</c:v>
                </c:pt>
                <c:pt idx="46">
                  <c:v>3.9428571428571431</c:v>
                </c:pt>
                <c:pt idx="47">
                  <c:v>4.0285714285714285</c:v>
                </c:pt>
                <c:pt idx="48">
                  <c:v>4.1142857142857139</c:v>
                </c:pt>
                <c:pt idx="49">
                  <c:v>4.2</c:v>
                </c:pt>
                <c:pt idx="50">
                  <c:v>4.2857142857142856</c:v>
                </c:pt>
                <c:pt idx="51">
                  <c:v>4.3714285714285719</c:v>
                </c:pt>
                <c:pt idx="52">
                  <c:v>4.4571428571428573</c:v>
                </c:pt>
                <c:pt idx="53">
                  <c:v>4.5428571428571427</c:v>
                </c:pt>
                <c:pt idx="54">
                  <c:v>4.628571428571429</c:v>
                </c:pt>
                <c:pt idx="55">
                  <c:v>4.7142857142857144</c:v>
                </c:pt>
                <c:pt idx="56">
                  <c:v>4.8</c:v>
                </c:pt>
                <c:pt idx="57">
                  <c:v>4.8857142857142861</c:v>
                </c:pt>
                <c:pt idx="58">
                  <c:v>4.9714285714285715</c:v>
                </c:pt>
                <c:pt idx="59">
                  <c:v>5.0571428571428569</c:v>
                </c:pt>
                <c:pt idx="60">
                  <c:v>5.1428571428571432</c:v>
                </c:pt>
                <c:pt idx="61">
                  <c:v>5.2285714285714286</c:v>
                </c:pt>
                <c:pt idx="62">
                  <c:v>5.3142857142857141</c:v>
                </c:pt>
                <c:pt idx="63">
                  <c:v>5.4</c:v>
                </c:pt>
                <c:pt idx="64">
                  <c:v>5.4857142857142858</c:v>
                </c:pt>
                <c:pt idx="65">
                  <c:v>5.5714285714285712</c:v>
                </c:pt>
                <c:pt idx="66">
                  <c:v>5.6571428571428575</c:v>
                </c:pt>
                <c:pt idx="67">
                  <c:v>5.7428571428571429</c:v>
                </c:pt>
                <c:pt idx="68">
                  <c:v>5.8285714285714283</c:v>
                </c:pt>
                <c:pt idx="69">
                  <c:v>5.9142857142857146</c:v>
                </c:pt>
                <c:pt idx="70">
                  <c:v>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18781152"/>
        <c:axId val="-1218789856"/>
      </c:scatterChart>
      <c:valAx>
        <c:axId val="-121878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Pressione del vento [kN/m²]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218789856"/>
        <c:crosses val="autoZero"/>
        <c:crossBetween val="midCat"/>
      </c:valAx>
      <c:valAx>
        <c:axId val="-121878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Quota del fabbricato [m]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-12187811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'DATI NTC'!$H$4:$H$102</c:f>
              <c:numCache>
                <c:formatCode>General</c:formatCode>
                <c:ptCount val="99"/>
                <c:pt idx="0">
                  <c:v>10</c:v>
                </c:pt>
                <c:pt idx="1">
                  <c:v>15</c:v>
                </c:pt>
                <c:pt idx="2">
                  <c:v>20</c:v>
                </c:pt>
                <c:pt idx="3">
                  <c:v>25</c:v>
                </c:pt>
                <c:pt idx="4">
                  <c:v>30</c:v>
                </c:pt>
                <c:pt idx="5">
                  <c:v>35</c:v>
                </c:pt>
                <c:pt idx="6">
                  <c:v>40</c:v>
                </c:pt>
                <c:pt idx="7">
                  <c:v>45</c:v>
                </c:pt>
                <c:pt idx="8">
                  <c:v>50</c:v>
                </c:pt>
                <c:pt idx="9">
                  <c:v>55</c:v>
                </c:pt>
                <c:pt idx="10">
                  <c:v>60</c:v>
                </c:pt>
                <c:pt idx="11">
                  <c:v>65</c:v>
                </c:pt>
                <c:pt idx="12">
                  <c:v>70</c:v>
                </c:pt>
                <c:pt idx="13">
                  <c:v>75</c:v>
                </c:pt>
                <c:pt idx="14">
                  <c:v>80</c:v>
                </c:pt>
                <c:pt idx="15">
                  <c:v>85</c:v>
                </c:pt>
                <c:pt idx="16">
                  <c:v>90</c:v>
                </c:pt>
                <c:pt idx="17">
                  <c:v>95</c:v>
                </c:pt>
                <c:pt idx="18">
                  <c:v>100</c:v>
                </c:pt>
                <c:pt idx="19">
                  <c:v>105</c:v>
                </c:pt>
                <c:pt idx="20">
                  <c:v>110</c:v>
                </c:pt>
                <c:pt idx="21">
                  <c:v>115</c:v>
                </c:pt>
                <c:pt idx="22">
                  <c:v>120</c:v>
                </c:pt>
                <c:pt idx="23">
                  <c:v>125</c:v>
                </c:pt>
                <c:pt idx="24">
                  <c:v>130</c:v>
                </c:pt>
                <c:pt idx="25">
                  <c:v>135</c:v>
                </c:pt>
                <c:pt idx="26">
                  <c:v>140</c:v>
                </c:pt>
                <c:pt idx="27">
                  <c:v>145</c:v>
                </c:pt>
                <c:pt idx="28">
                  <c:v>150</c:v>
                </c:pt>
                <c:pt idx="29">
                  <c:v>155</c:v>
                </c:pt>
                <c:pt idx="30">
                  <c:v>160</c:v>
                </c:pt>
                <c:pt idx="31">
                  <c:v>165</c:v>
                </c:pt>
                <c:pt idx="32">
                  <c:v>170</c:v>
                </c:pt>
                <c:pt idx="33">
                  <c:v>175</c:v>
                </c:pt>
                <c:pt idx="34">
                  <c:v>180</c:v>
                </c:pt>
                <c:pt idx="35">
                  <c:v>185</c:v>
                </c:pt>
                <c:pt idx="36">
                  <c:v>190</c:v>
                </c:pt>
                <c:pt idx="37">
                  <c:v>195</c:v>
                </c:pt>
                <c:pt idx="38">
                  <c:v>200</c:v>
                </c:pt>
                <c:pt idx="39">
                  <c:v>205</c:v>
                </c:pt>
                <c:pt idx="40">
                  <c:v>210</c:v>
                </c:pt>
                <c:pt idx="41">
                  <c:v>215</c:v>
                </c:pt>
                <c:pt idx="42">
                  <c:v>220</c:v>
                </c:pt>
                <c:pt idx="43">
                  <c:v>225</c:v>
                </c:pt>
                <c:pt idx="44">
                  <c:v>230</c:v>
                </c:pt>
                <c:pt idx="45">
                  <c:v>235</c:v>
                </c:pt>
                <c:pt idx="46">
                  <c:v>240</c:v>
                </c:pt>
                <c:pt idx="47">
                  <c:v>245</c:v>
                </c:pt>
                <c:pt idx="48">
                  <c:v>250</c:v>
                </c:pt>
                <c:pt idx="49">
                  <c:v>255</c:v>
                </c:pt>
                <c:pt idx="50">
                  <c:v>260</c:v>
                </c:pt>
                <c:pt idx="51">
                  <c:v>265</c:v>
                </c:pt>
                <c:pt idx="52">
                  <c:v>270</c:v>
                </c:pt>
                <c:pt idx="53">
                  <c:v>275</c:v>
                </c:pt>
                <c:pt idx="54">
                  <c:v>280</c:v>
                </c:pt>
                <c:pt idx="55">
                  <c:v>285</c:v>
                </c:pt>
                <c:pt idx="56">
                  <c:v>290</c:v>
                </c:pt>
                <c:pt idx="57">
                  <c:v>295</c:v>
                </c:pt>
                <c:pt idx="58">
                  <c:v>300</c:v>
                </c:pt>
                <c:pt idx="59">
                  <c:v>305</c:v>
                </c:pt>
                <c:pt idx="60">
                  <c:v>310</c:v>
                </c:pt>
                <c:pt idx="61">
                  <c:v>315</c:v>
                </c:pt>
                <c:pt idx="62">
                  <c:v>320</c:v>
                </c:pt>
                <c:pt idx="63">
                  <c:v>325</c:v>
                </c:pt>
                <c:pt idx="64">
                  <c:v>330</c:v>
                </c:pt>
                <c:pt idx="65">
                  <c:v>335</c:v>
                </c:pt>
                <c:pt idx="66">
                  <c:v>340</c:v>
                </c:pt>
                <c:pt idx="67">
                  <c:v>345</c:v>
                </c:pt>
                <c:pt idx="68">
                  <c:v>350</c:v>
                </c:pt>
                <c:pt idx="69">
                  <c:v>355</c:v>
                </c:pt>
                <c:pt idx="70">
                  <c:v>360</c:v>
                </c:pt>
                <c:pt idx="71">
                  <c:v>365</c:v>
                </c:pt>
                <c:pt idx="72">
                  <c:v>370</c:v>
                </c:pt>
                <c:pt idx="73">
                  <c:v>375</c:v>
                </c:pt>
                <c:pt idx="74">
                  <c:v>380</c:v>
                </c:pt>
                <c:pt idx="75">
                  <c:v>385</c:v>
                </c:pt>
                <c:pt idx="76">
                  <c:v>390</c:v>
                </c:pt>
                <c:pt idx="77">
                  <c:v>395</c:v>
                </c:pt>
                <c:pt idx="78">
                  <c:v>400</c:v>
                </c:pt>
                <c:pt idx="79">
                  <c:v>405</c:v>
                </c:pt>
                <c:pt idx="80">
                  <c:v>410</c:v>
                </c:pt>
                <c:pt idx="81">
                  <c:v>415</c:v>
                </c:pt>
                <c:pt idx="82">
                  <c:v>420</c:v>
                </c:pt>
                <c:pt idx="83">
                  <c:v>425</c:v>
                </c:pt>
                <c:pt idx="84">
                  <c:v>430</c:v>
                </c:pt>
                <c:pt idx="85">
                  <c:v>435</c:v>
                </c:pt>
                <c:pt idx="86">
                  <c:v>440</c:v>
                </c:pt>
                <c:pt idx="87">
                  <c:v>445</c:v>
                </c:pt>
                <c:pt idx="88">
                  <c:v>450</c:v>
                </c:pt>
                <c:pt idx="89">
                  <c:v>455</c:v>
                </c:pt>
                <c:pt idx="90">
                  <c:v>460</c:v>
                </c:pt>
                <c:pt idx="91">
                  <c:v>465</c:v>
                </c:pt>
                <c:pt idx="92">
                  <c:v>470</c:v>
                </c:pt>
                <c:pt idx="93">
                  <c:v>475</c:v>
                </c:pt>
                <c:pt idx="94">
                  <c:v>480</c:v>
                </c:pt>
                <c:pt idx="95">
                  <c:v>485</c:v>
                </c:pt>
                <c:pt idx="96">
                  <c:v>490</c:v>
                </c:pt>
                <c:pt idx="97">
                  <c:v>495</c:v>
                </c:pt>
                <c:pt idx="98">
                  <c:v>500</c:v>
                </c:pt>
              </c:numCache>
            </c:numRef>
          </c:xVal>
          <c:yVal>
            <c:numRef>
              <c:f>'DATI NTC'!$I$4:$I$102</c:f>
              <c:numCache>
                <c:formatCode>0.000</c:formatCode>
                <c:ptCount val="99"/>
                <c:pt idx="0">
                  <c:v>0.90314247177433216</c:v>
                </c:pt>
                <c:pt idx="1">
                  <c:v>0.92913783169900976</c:v>
                </c:pt>
                <c:pt idx="2">
                  <c:v>0.94691444466606578</c:v>
                </c:pt>
                <c:pt idx="3">
                  <c:v>0.96038279056457787</c:v>
                </c:pt>
                <c:pt idx="4">
                  <c:v>0.97120189997686168</c:v>
                </c:pt>
                <c:pt idx="5">
                  <c:v>0.98022958879064337</c:v>
                </c:pt>
                <c:pt idx="6">
                  <c:v>0.98796650576820921</c:v>
                </c:pt>
                <c:pt idx="7">
                  <c:v>0.99473001325592336</c:v>
                </c:pt>
                <c:pt idx="8">
                  <c:v>1.0007337802921321</c:v>
                </c:pt>
                <c:pt idx="9">
                  <c:v>1.0061284324193829</c:v>
                </c:pt>
                <c:pt idx="10">
                  <c:v>1.01102407832996</c:v>
                </c:pt>
                <c:pt idx="11">
                  <c:v>1.0155036110958284</c:v>
                </c:pt>
                <c:pt idx="12">
                  <c:v>1.0196309718360603</c:v>
                </c:pt>
                <c:pt idx="13">
                  <c:v>1.0234565024757023</c:v>
                </c:pt>
                <c:pt idx="14">
                  <c:v>1.0270205361062441</c:v>
                </c:pt>
                <c:pt idx="15">
                  <c:v>1.0303558776542665</c:v>
                </c:pt>
                <c:pt idx="16">
                  <c:v>1.0334895620918512</c:v>
                </c:pt>
                <c:pt idx="17">
                  <c:v>1.0364441285307389</c:v>
                </c:pt>
                <c:pt idx="18">
                  <c:v>1.0392385616461532</c:v>
                </c:pt>
                <c:pt idx="19">
                  <c:v>1.0418889993793494</c:v>
                </c:pt>
                <c:pt idx="20">
                  <c:v>1.0444092731774344</c:v>
                </c:pt>
                <c:pt idx="21">
                  <c:v>1.0468113261192826</c:v>
                </c:pt>
                <c:pt idx="22">
                  <c:v>1.049105540578835</c:v>
                </c:pt>
                <c:pt idx="23">
                  <c:v>1.0513009979097823</c:v>
                </c:pt>
                <c:pt idx="24">
                  <c:v>1.0534056863805785</c:v>
                </c:pt>
                <c:pt idx="25">
                  <c:v>1.0554266692452625</c:v>
                </c:pt>
                <c:pt idx="26">
                  <c:v>1.0573702217709586</c:v>
                </c:pt>
                <c:pt idx="27">
                  <c:v>1.0592419438487357</c:v>
                </c:pt>
                <c:pt idx="28">
                  <c:v>1.0610468532223396</c:v>
                </c:pt>
                <c:pt idx="29">
                  <c:v>1.0627894631995203</c:v>
                </c:pt>
                <c:pt idx="30">
                  <c:v>1.0644738478413656</c:v>
                </c:pt>
                <c:pt idx="31">
                  <c:v>1.0661036969721076</c:v>
                </c:pt>
                <c:pt idx="32">
                  <c:v>1.0676823628565562</c:v>
                </c:pt>
                <c:pt idx="33">
                  <c:v>1.0692129000131074</c:v>
                </c:pt>
                <c:pt idx="34">
                  <c:v>1.070698099337472</c:v>
                </c:pt>
                <c:pt idx="35">
                  <c:v>1.0721405174842671</c:v>
                </c:pt>
                <c:pt idx="36">
                  <c:v>1.0735425022748137</c:v>
                </c:pt>
                <c:pt idx="37">
                  <c:v>1.074906214758208</c:v>
                </c:pt>
                <c:pt idx="38">
                  <c:v>1.0762336484403332</c:v>
                </c:pt>
                <c:pt idx="39">
                  <c:v>1.0775266461055821</c:v>
                </c:pt>
                <c:pt idx="40">
                  <c:v>1.0787869145835749</c:v>
                </c:pt>
                <c:pt idx="41">
                  <c:v>1.0800160377545249</c:v>
                </c:pt>
                <c:pt idx="42">
                  <c:v>1.0812154880391427</c:v>
                </c:pt>
                <c:pt idx="43">
                  <c:v>1.082386636579844</c:v>
                </c:pt>
                <c:pt idx="44">
                  <c:v>1.0835307622879164</c:v>
                </c:pt>
                <c:pt idx="45">
                  <c:v>1.0846490599046814</c:v>
                </c:pt>
                <c:pt idx="46">
                  <c:v>1.085742647202695</c:v>
                </c:pt>
                <c:pt idx="47">
                  <c:v>1.086812571434594</c:v>
                </c:pt>
                <c:pt idx="48">
                  <c:v>1.0878598151218681</c:v>
                </c:pt>
                <c:pt idx="49">
                  <c:v>1.0888853012628652</c:v>
                </c:pt>
                <c:pt idx="50">
                  <c:v>1.0898898980284994</c:v>
                </c:pt>
                <c:pt idx="51">
                  <c:v>1.0908744230048619</c:v>
                </c:pt>
                <c:pt idx="52">
                  <c:v>1.0918396470341369</c:v>
                </c:pt>
                <c:pt idx="53">
                  <c:v>1.0927862976985416</c:v>
                </c:pt>
                <c:pt idx="54">
                  <c:v>1.0937150624863372</c:v>
                </c:pt>
                <c:pt idx="55">
                  <c:v>1.0946265916740203</c:v>
                </c:pt>
                <c:pt idx="56">
                  <c:v>1.095521500954681</c:v>
                </c:pt>
                <c:pt idx="57">
                  <c:v>1.0964003738388195</c:v>
                </c:pt>
                <c:pt idx="58">
                  <c:v>1.0972637638508393</c:v>
                </c:pt>
                <c:pt idx="59">
                  <c:v>1.0981121965417078</c:v>
                </c:pt>
                <c:pt idx="60">
                  <c:v>1.0989461713358977</c:v>
                </c:pt>
                <c:pt idx="61">
                  <c:v>1.0997661632287137</c:v>
                </c:pt>
                <c:pt idx="62">
                  <c:v>1.1005726243482847</c:v>
                </c:pt>
                <c:pt idx="63">
                  <c:v>1.1013659853949533</c:v>
                </c:pt>
                <c:pt idx="64">
                  <c:v>1.1021466569694025</c:v>
                </c:pt>
                <c:pt idx="65">
                  <c:v>1.1029150307996933</c:v>
                </c:pt>
                <c:pt idx="66">
                  <c:v>1.1036714808762682</c:v>
                </c:pt>
                <c:pt idx="67">
                  <c:v>1.1044163645030824</c:v>
                </c:pt>
                <c:pt idx="68">
                  <c:v>1.1051500232721798</c:v>
                </c:pt>
                <c:pt idx="69">
                  <c:v>1.105872783968306</c:v>
                </c:pt>
                <c:pt idx="70">
                  <c:v>1.1065849594094628</c:v>
                </c:pt>
                <c:pt idx="71">
                  <c:v>1.1072868492288062</c:v>
                </c:pt>
                <c:pt idx="72">
                  <c:v>1.1079787406026906</c:v>
                </c:pt>
                <c:pt idx="73">
                  <c:v>1.1086609089292538</c:v>
                </c:pt>
                <c:pt idx="74">
                  <c:v>1.1093336184615306</c:v>
                </c:pt>
                <c:pt idx="75">
                  <c:v>1.1099971228986598</c:v>
                </c:pt>
                <c:pt idx="76">
                  <c:v>1.1106516659385122</c:v>
                </c:pt>
                <c:pt idx="77">
                  <c:v>1.1112974817946781</c:v>
                </c:pt>
                <c:pt idx="78">
                  <c:v>1.1119347956805583</c:v>
                </c:pt>
                <c:pt idx="79">
                  <c:v>1.1125638242630134</c:v>
                </c:pt>
                <c:pt idx="80">
                  <c:v>1.1131847760878655</c:v>
                </c:pt>
                <c:pt idx="81">
                  <c:v>1.1137978519792913</c:v>
                </c:pt>
                <c:pt idx="82">
                  <c:v>1.1144032454150117</c:v>
                </c:pt>
                <c:pt idx="83">
                  <c:v>1.1150011428790321</c:v>
                </c:pt>
                <c:pt idx="84">
                  <c:v>1.1155917241934883</c:v>
                </c:pt>
                <c:pt idx="85">
                  <c:v>1.1161751628311067</c:v>
                </c:pt>
                <c:pt idx="86">
                  <c:v>1.1167516262095742</c:v>
                </c:pt>
                <c:pt idx="87">
                  <c:v>1.1173212759691014</c:v>
                </c:pt>
                <c:pt idx="88">
                  <c:v>1.1178842682342789</c:v>
                </c:pt>
                <c:pt idx="89">
                  <c:v>1.1184407538613177</c:v>
                </c:pt>
                <c:pt idx="90">
                  <c:v>1.118990878671597</c:v>
                </c:pt>
                <c:pt idx="91">
                  <c:v>1.1195347836724561</c:v>
                </c:pt>
                <c:pt idx="92">
                  <c:v>1.1200726052660412</c:v>
                </c:pt>
                <c:pt idx="93">
                  <c:v>1.120604475446954</c:v>
                </c:pt>
                <c:pt idx="94">
                  <c:v>1.1211305219894632</c:v>
                </c:pt>
                <c:pt idx="95">
                  <c:v>1.1216508686248758</c:v>
                </c:pt>
                <c:pt idx="96">
                  <c:v>1.1221656352097182</c:v>
                </c:pt>
                <c:pt idx="97">
                  <c:v>1.1226749378852849</c:v>
                </c:pt>
                <c:pt idx="98">
                  <c:v>1.1231788892290664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18779520"/>
        <c:axId val="-1218790400"/>
      </c:scatterChart>
      <c:valAx>
        <c:axId val="-1218779520"/>
        <c:scaling>
          <c:logBase val="10"/>
          <c:orientation val="minMax"/>
          <c:max val="500"/>
          <c:min val="10"/>
        </c:scaling>
        <c:delete val="0"/>
        <c:axPos val="b"/>
        <c:numFmt formatCode="General" sourceLinked="1"/>
        <c:majorTickMark val="out"/>
        <c:minorTickMark val="none"/>
        <c:tickLblPos val="nextTo"/>
        <c:crossAx val="-1218790400"/>
        <c:crosses val="autoZero"/>
        <c:crossBetween val="midCat"/>
      </c:valAx>
      <c:valAx>
        <c:axId val="-1218790400"/>
        <c:scaling>
          <c:orientation val="minMax"/>
          <c:max val="1.5"/>
          <c:min val="0.5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-1218779520"/>
        <c:crosses val="autoZero"/>
        <c:crossBetween val="midCat"/>
        <c:majorUnit val="0.25"/>
        <c:minorUnit val="2.0000000000000011E-2"/>
      </c:valAx>
    </c:plotArea>
    <c:plotVisOnly val="1"/>
    <c:dispBlanksAs val="gap"/>
    <c:showDLblsOverMax val="0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emf"/><Relationship Id="rId7" Type="http://schemas.openxmlformats.org/officeDocument/2006/relationships/image" Target="../media/image7.pn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chart" Target="../charts/chart1.xml"/><Relationship Id="rId11" Type="http://schemas.openxmlformats.org/officeDocument/2006/relationships/chart" Target="../charts/chart3.xml"/><Relationship Id="rId5" Type="http://schemas.openxmlformats.org/officeDocument/2006/relationships/image" Target="../media/image6.emf"/><Relationship Id="rId10" Type="http://schemas.openxmlformats.org/officeDocument/2006/relationships/chart" Target="../charts/chart2.xml"/><Relationship Id="rId4" Type="http://schemas.openxmlformats.org/officeDocument/2006/relationships/image" Target="../media/image5.emf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7" Type="http://schemas.openxmlformats.org/officeDocument/2006/relationships/image" Target="../media/image4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22861</xdr:colOff>
      <xdr:row>0</xdr:row>
      <xdr:rowOff>164716</xdr:rowOff>
    </xdr:from>
    <xdr:to>
      <xdr:col>8</xdr:col>
      <xdr:colOff>570825</xdr:colOff>
      <xdr:row>3</xdr:row>
      <xdr:rowOff>130354</xdr:rowOff>
    </xdr:to>
    <xdr:pic>
      <xdr:nvPicPr>
        <xdr:cNvPr id="2" name="Immagine 1" descr="Cattur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2461" y="164716"/>
          <a:ext cx="4815164" cy="5142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890081</xdr:colOff>
      <xdr:row>7</xdr:row>
      <xdr:rowOff>69273</xdr:rowOff>
    </xdr:from>
    <xdr:to>
      <xdr:col>5</xdr:col>
      <xdr:colOff>494560</xdr:colOff>
      <xdr:row>18</xdr:row>
      <xdr:rowOff>183573</xdr:rowOff>
    </xdr:to>
    <xdr:pic>
      <xdr:nvPicPr>
        <xdr:cNvPr id="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8" r="5389" b="6702"/>
        <a:stretch>
          <a:fillRect/>
        </a:stretch>
      </xdr:blipFill>
      <xdr:spPr bwMode="auto">
        <a:xfrm>
          <a:off x="1894536" y="1428750"/>
          <a:ext cx="2138995" cy="2218459"/>
        </a:xfrm>
        <a:prstGeom prst="rect">
          <a:avLst/>
        </a:prstGeom>
        <a:noFill/>
        <a:ln w="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7619</xdr:colOff>
      <xdr:row>37</xdr:row>
      <xdr:rowOff>55796</xdr:rowOff>
    </xdr:from>
    <xdr:to>
      <xdr:col>4</xdr:col>
      <xdr:colOff>101476</xdr:colOff>
      <xdr:row>50</xdr:row>
      <xdr:rowOff>90059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65"/>
        <a:stretch>
          <a:fillRect/>
        </a:stretch>
      </xdr:blipFill>
      <xdr:spPr bwMode="auto">
        <a:xfrm>
          <a:off x="163483" y="6480841"/>
          <a:ext cx="2561698" cy="251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131623</xdr:colOff>
      <xdr:row>51</xdr:row>
      <xdr:rowOff>171795</xdr:rowOff>
    </xdr:from>
    <xdr:to>
      <xdr:col>4</xdr:col>
      <xdr:colOff>684440</xdr:colOff>
      <xdr:row>61</xdr:row>
      <xdr:rowOff>6928</xdr:rowOff>
    </xdr:to>
    <xdr:pic>
      <xdr:nvPicPr>
        <xdr:cNvPr id="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5" y="8567650"/>
          <a:ext cx="1408335" cy="1636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322465</xdr:colOff>
      <xdr:row>37</xdr:row>
      <xdr:rowOff>62346</xdr:rowOff>
    </xdr:from>
    <xdr:to>
      <xdr:col>7</xdr:col>
      <xdr:colOff>338571</xdr:colOff>
      <xdr:row>47</xdr:row>
      <xdr:rowOff>44805</xdr:rowOff>
    </xdr:to>
    <xdr:pic>
      <xdr:nvPicPr>
        <xdr:cNvPr id="5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647" y="6487391"/>
          <a:ext cx="2483946" cy="1887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101500</xdr:colOff>
      <xdr:row>51</xdr:row>
      <xdr:rowOff>143000</xdr:rowOff>
    </xdr:from>
    <xdr:to>
      <xdr:col>3</xdr:col>
      <xdr:colOff>10390</xdr:colOff>
      <xdr:row>62</xdr:row>
      <xdr:rowOff>56163</xdr:rowOff>
    </xdr:to>
    <xdr:pic>
      <xdr:nvPicPr>
        <xdr:cNvPr id="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59"/>
        <a:stretch>
          <a:fillRect/>
        </a:stretch>
      </xdr:blipFill>
      <xdr:spPr bwMode="auto">
        <a:xfrm>
          <a:off x="267755" y="8538855"/>
          <a:ext cx="1616463" cy="1894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551022</xdr:colOff>
      <xdr:row>68</xdr:row>
      <xdr:rowOff>89296</xdr:rowOff>
    </xdr:from>
    <xdr:to>
      <xdr:col>2</xdr:col>
      <xdr:colOff>628413</xdr:colOff>
      <xdr:row>69</xdr:row>
      <xdr:rowOff>129451</xdr:rowOff>
    </xdr:to>
    <xdr:sp macro="" textlink="">
      <xdr:nvSpPr>
        <xdr:cNvPr id="13" name="Arco 12"/>
        <xdr:cNvSpPr/>
      </xdr:nvSpPr>
      <xdr:spPr>
        <a:xfrm>
          <a:off x="5359242" y="12136516"/>
          <a:ext cx="77391" cy="276375"/>
        </a:xfrm>
        <a:prstGeom prst="arc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it-IT"/>
        </a:p>
      </xdr:txBody>
    </xdr:sp>
    <xdr:clientData/>
  </xdr:twoCellAnchor>
  <xdr:twoCellAnchor>
    <xdr:from>
      <xdr:col>2</xdr:col>
      <xdr:colOff>17860</xdr:colOff>
      <xdr:row>69</xdr:row>
      <xdr:rowOff>1</xdr:rowOff>
    </xdr:from>
    <xdr:to>
      <xdr:col>2</xdr:col>
      <xdr:colOff>681107</xdr:colOff>
      <xdr:row>69</xdr:row>
      <xdr:rowOff>1</xdr:rowOff>
    </xdr:to>
    <xdr:cxnSp macro="">
      <xdr:nvCxnSpPr>
        <xdr:cNvPr id="14" name="Connettore 1 13"/>
        <xdr:cNvCxnSpPr/>
      </xdr:nvCxnSpPr>
      <xdr:spPr>
        <a:xfrm>
          <a:off x="4826080" y="12283441"/>
          <a:ext cx="663247" cy="0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575854</xdr:colOff>
      <xdr:row>68</xdr:row>
      <xdr:rowOff>152400</xdr:rowOff>
    </xdr:from>
    <xdr:to>
      <xdr:col>2</xdr:col>
      <xdr:colOff>851574</xdr:colOff>
      <xdr:row>69</xdr:row>
      <xdr:rowOff>0</xdr:rowOff>
    </xdr:to>
    <xdr:cxnSp macro="">
      <xdr:nvCxnSpPr>
        <xdr:cNvPr id="15" name="Connettore 1 14"/>
        <xdr:cNvCxnSpPr/>
      </xdr:nvCxnSpPr>
      <xdr:spPr>
        <a:xfrm>
          <a:off x="5384074" y="12199620"/>
          <a:ext cx="275720" cy="83820"/>
        </a:xfrm>
        <a:prstGeom prst="line">
          <a:avLst/>
        </a:prstGeom>
        <a:ln w="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229061</xdr:colOff>
      <xdr:row>163</xdr:row>
      <xdr:rowOff>0</xdr:rowOff>
    </xdr:from>
    <xdr:to>
      <xdr:col>3</xdr:col>
      <xdr:colOff>390361</xdr:colOff>
      <xdr:row>163</xdr:row>
      <xdr:rowOff>126493</xdr:rowOff>
    </xdr:to>
    <xdr:sp macro="" textlink="">
      <xdr:nvSpPr>
        <xdr:cNvPr id="1035" name="Rectangle 126"/>
        <xdr:cNvSpPr>
          <a:spLocks noChangeArrowheads="1"/>
        </xdr:cNvSpPr>
      </xdr:nvSpPr>
      <xdr:spPr bwMode="auto">
        <a:xfrm>
          <a:off x="2088341" y="25159044"/>
          <a:ext cx="161300" cy="166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it-IT" sz="1400" b="0" i="0" u="none" strike="noStrike" baseline="0">
              <a:solidFill>
                <a:srgbClr val="000000"/>
              </a:solidFill>
              <a:latin typeface="Calibri"/>
            </a:rPr>
            <a:t> </a:t>
          </a:r>
          <a:endParaRPr lang="it-IT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it-IT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325233</xdr:colOff>
      <xdr:row>177</xdr:row>
      <xdr:rowOff>116031</xdr:rowOff>
    </xdr:from>
    <xdr:to>
      <xdr:col>7</xdr:col>
      <xdr:colOff>562840</xdr:colOff>
      <xdr:row>192</xdr:row>
      <xdr:rowOff>81395</xdr:rowOff>
    </xdr:to>
    <xdr:graphicFrame macro="">
      <xdr:nvGraphicFramePr>
        <xdr:cNvPr id="27" name="Grafico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329047</xdr:colOff>
      <xdr:row>201</xdr:row>
      <xdr:rowOff>53560</xdr:rowOff>
    </xdr:from>
    <xdr:to>
      <xdr:col>6</xdr:col>
      <xdr:colOff>774122</xdr:colOff>
      <xdr:row>226</xdr:row>
      <xdr:rowOff>20779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0" b="7805"/>
        <a:stretch>
          <a:fillRect/>
        </a:stretch>
      </xdr:blipFill>
      <xdr:spPr>
        <a:xfrm>
          <a:off x="495302" y="34184233"/>
          <a:ext cx="4686298" cy="4469946"/>
        </a:xfrm>
        <a:prstGeom prst="rect">
          <a:avLst/>
        </a:prstGeom>
      </xdr:spPr>
    </xdr:pic>
    <xdr:clientData/>
  </xdr:twoCellAnchor>
  <xdr:twoCellAnchor editAs="oneCell">
    <xdr:from>
      <xdr:col>1</xdr:col>
      <xdr:colOff>6927</xdr:colOff>
      <xdr:row>137</xdr:row>
      <xdr:rowOff>0</xdr:rowOff>
    </xdr:from>
    <xdr:to>
      <xdr:col>6</xdr:col>
      <xdr:colOff>270987</xdr:colOff>
      <xdr:row>149</xdr:row>
      <xdr:rowOff>1</xdr:rowOff>
    </xdr:to>
    <xdr:pic>
      <xdr:nvPicPr>
        <xdr:cNvPr id="31" name="Immagine 30" descr="1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9327" y="22485927"/>
          <a:ext cx="4505283" cy="2161310"/>
        </a:xfrm>
        <a:prstGeom prst="rect">
          <a:avLst/>
        </a:prstGeom>
      </xdr:spPr>
    </xdr:pic>
    <xdr:clientData/>
  </xdr:twoCellAnchor>
  <xdr:twoCellAnchor editAs="oneCell">
    <xdr:from>
      <xdr:col>1</xdr:col>
      <xdr:colOff>180105</xdr:colOff>
      <xdr:row>100</xdr:row>
      <xdr:rowOff>180107</xdr:rowOff>
    </xdr:from>
    <xdr:to>
      <xdr:col>7</xdr:col>
      <xdr:colOff>27709</xdr:colOff>
      <xdr:row>129</xdr:row>
      <xdr:rowOff>71096</xdr:rowOff>
    </xdr:to>
    <xdr:pic>
      <xdr:nvPicPr>
        <xdr:cNvPr id="32" name="Immagine 31" descr="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10800000">
          <a:off x="332505" y="15988143"/>
          <a:ext cx="4911440" cy="5114153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>
    <xdr:from>
      <xdr:col>1</xdr:col>
      <xdr:colOff>422563</xdr:colOff>
      <xdr:row>271</xdr:row>
      <xdr:rowOff>173182</xdr:rowOff>
    </xdr:from>
    <xdr:to>
      <xdr:col>7</xdr:col>
      <xdr:colOff>228600</xdr:colOff>
      <xdr:row>290</xdr:row>
      <xdr:rowOff>145473</xdr:rowOff>
    </xdr:to>
    <xdr:graphicFrame macro="">
      <xdr:nvGraphicFramePr>
        <xdr:cNvPr id="19" name="Gra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429492</xdr:colOff>
      <xdr:row>291</xdr:row>
      <xdr:rowOff>117764</xdr:rowOff>
    </xdr:from>
    <xdr:to>
      <xdr:col>7</xdr:col>
      <xdr:colOff>228601</xdr:colOff>
      <xdr:row>309</xdr:row>
      <xdr:rowOff>124692</xdr:rowOff>
    </xdr:to>
    <xdr:graphicFrame macro="">
      <xdr:nvGraphicFramePr>
        <xdr:cNvPr id="20" name="Gra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55418</xdr:colOff>
      <xdr:row>37</xdr:row>
      <xdr:rowOff>0</xdr:rowOff>
    </xdr:from>
    <xdr:to>
      <xdr:col>36</xdr:col>
      <xdr:colOff>249573</xdr:colOff>
      <xdr:row>42</xdr:row>
      <xdr:rowOff>102710</xdr:rowOff>
    </xdr:to>
    <xdr:pic>
      <xdr:nvPicPr>
        <xdr:cNvPr id="2" name="Picture 68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20001" y="7524750"/>
          <a:ext cx="1421822" cy="105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0</xdr:colOff>
      <xdr:row>45</xdr:row>
      <xdr:rowOff>160352</xdr:rowOff>
    </xdr:from>
    <xdr:to>
      <xdr:col>36</xdr:col>
      <xdr:colOff>334065</xdr:colOff>
      <xdr:row>51</xdr:row>
      <xdr:rowOff>38890</xdr:rowOff>
    </xdr:to>
    <xdr:pic>
      <xdr:nvPicPr>
        <xdr:cNvPr id="3" name="Picture 68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664583" y="9209102"/>
          <a:ext cx="1561732" cy="1085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0</xdr:colOff>
      <xdr:row>53</xdr:row>
      <xdr:rowOff>0</xdr:rowOff>
    </xdr:from>
    <xdr:to>
      <xdr:col>36</xdr:col>
      <xdr:colOff>354406</xdr:colOff>
      <xdr:row>58</xdr:row>
      <xdr:rowOff>183574</xdr:rowOff>
    </xdr:to>
    <xdr:pic>
      <xdr:nvPicPr>
        <xdr:cNvPr id="4" name="Picture 700" descr="Immagin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664583" y="10636250"/>
          <a:ext cx="1582073" cy="1136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486834</xdr:colOff>
      <xdr:row>15</xdr:row>
      <xdr:rowOff>158749</xdr:rowOff>
    </xdr:from>
    <xdr:to>
      <xdr:col>36</xdr:col>
      <xdr:colOff>412750</xdr:colOff>
      <xdr:row>30</xdr:row>
      <xdr:rowOff>21166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65"/>
        <a:stretch>
          <a:fillRect/>
        </a:stretch>
      </xdr:blipFill>
      <xdr:spPr bwMode="auto">
        <a:xfrm>
          <a:off x="23696084" y="3301999"/>
          <a:ext cx="3608916" cy="2910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52917</xdr:colOff>
      <xdr:row>31</xdr:row>
      <xdr:rowOff>52917</xdr:rowOff>
    </xdr:from>
    <xdr:to>
      <xdr:col>35</xdr:col>
      <xdr:colOff>81529</xdr:colOff>
      <xdr:row>41</xdr:row>
      <xdr:rowOff>35376</xdr:rowOff>
    </xdr:to>
    <xdr:pic>
      <xdr:nvPicPr>
        <xdr:cNvPr id="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76000" y="6434667"/>
          <a:ext cx="2483946" cy="1887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42334</xdr:colOff>
      <xdr:row>43</xdr:row>
      <xdr:rowOff>52917</xdr:rowOff>
    </xdr:from>
    <xdr:to>
      <xdr:col>33</xdr:col>
      <xdr:colOff>368784</xdr:colOff>
      <xdr:row>53</xdr:row>
      <xdr:rowOff>93080</xdr:rowOff>
    </xdr:to>
    <xdr:pic>
      <xdr:nvPicPr>
        <xdr:cNvPr id="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59"/>
        <a:stretch>
          <a:fillRect/>
        </a:stretch>
      </xdr:blipFill>
      <xdr:spPr bwMode="auto">
        <a:xfrm>
          <a:off x="23865417" y="8720667"/>
          <a:ext cx="1554117" cy="2008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38</xdr:col>
      <xdr:colOff>147764</xdr:colOff>
      <xdr:row>52</xdr:row>
      <xdr:rowOff>152633</xdr:rowOff>
    </xdr:to>
    <xdr:pic>
      <xdr:nvPicPr>
        <xdr:cNvPr id="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2250" y="8858250"/>
          <a:ext cx="1375431" cy="1740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434340</xdr:colOff>
      <xdr:row>2</xdr:row>
      <xdr:rowOff>45720</xdr:rowOff>
    </xdr:from>
    <xdr:to>
      <xdr:col>17</xdr:col>
      <xdr:colOff>129540</xdr:colOff>
      <xdr:row>11</xdr:row>
      <xdr:rowOff>91440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rchivio1\Desktop\PROGETTO%20MURATURA%20NUOVA%20ORDINARIA\vento\Azione%20vento%20e%20neve%20NTC%2020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Vento"/>
      <sheetName val="Neve"/>
    </sheetNames>
    <sheetDataSet>
      <sheetData sheetId="0" refreshError="1"/>
      <sheetData sheetId="1">
        <row r="5">
          <cell r="Q5" t="str">
            <v>1) Valle d’Aosta, Piemonte, Lombardia, Trentino Alto Adige, Veneto, Friuli Venezia Giulia (con l’eccezione della provincia di Trieste)</v>
          </cell>
        </row>
        <row r="6">
          <cell r="Q6" t="str">
            <v>2) Emilia Romagna</v>
          </cell>
        </row>
        <row r="7">
          <cell r="Q7" t="str">
            <v>3) Toscana, Marche, Umbria, Lazio, Abruzzo, Molise, Puglia, Campania, Basilicata, Calabria (esclusa la provincia di Reggio Calabria)</v>
          </cell>
        </row>
        <row r="8">
          <cell r="Q8" t="str">
            <v>4) Sicilia e provincia di Reggio Calabria</v>
          </cell>
        </row>
        <row r="9">
          <cell r="Q9" t="str">
            <v>5) Sardegna (zona a oriente della retta congiungente Capo Teulada con l’Isola di Maddalena)</v>
          </cell>
        </row>
        <row r="10">
          <cell r="Q10" t="str">
            <v>6) Sardegna (zona a occidente della retta congiungente Capo Teulada con l’Isola di Maddalena)</v>
          </cell>
        </row>
        <row r="11">
          <cell r="Q11" t="str">
            <v>7) Liguria</v>
          </cell>
        </row>
        <row r="12">
          <cell r="Q12" t="str">
            <v>8) Provincia di Trieste</v>
          </cell>
        </row>
        <row r="13">
          <cell r="Q13" t="str">
            <v>9) Isole (con l’eccezione di Sicilia e Sardegna) e mare aperto</v>
          </cell>
        </row>
      </sheetData>
      <sheetData sheetId="2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3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Relationship Id="rId4" Type="http://schemas.openxmlformats.org/officeDocument/2006/relationships/revisionLog" Target="revisionLog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23A3FFA0-9978-4972-AF55-7FA7299C906C}" diskRevisions="1" revisionId="1" version="4" protected="1">
  <header guid="{4D83777B-EB06-42F6-B110-4A3D3246473A}" dateTime="2016-11-07T08:08:38" maxSheetId="5" userName="Davide Cicchini" r:id="rId1">
    <sheetIdMap count="4">
      <sheetId val="1"/>
      <sheetId val="2"/>
      <sheetId val="3"/>
      <sheetId val="4"/>
    </sheetIdMap>
  </header>
  <header guid="{AE764D97-03FB-4F41-9DE7-36DA75E5AC71}" dateTime="2016-11-07T08:08:46" maxSheetId="5" userName="Davide Cicchini" r:id="rId2">
    <sheetIdMap count="4">
      <sheetId val="1"/>
      <sheetId val="2"/>
      <sheetId val="3"/>
      <sheetId val="4"/>
    </sheetIdMap>
  </header>
  <header guid="{B08216E1-2971-453F-8CAB-8A3BB65A93AC}" dateTime="2016-11-07T08:12:58" maxSheetId="5" userName="Davide Cicchini" r:id="rId3" minRId="1">
    <sheetIdMap count="4">
      <sheetId val="1"/>
      <sheetId val="2"/>
      <sheetId val="3"/>
      <sheetId val="4"/>
    </sheetIdMap>
  </header>
  <header guid="{23A3FFA0-9978-4972-AF55-7FA7299C906C}" dateTime="2016-11-07T08:13:21" maxSheetId="5" userName="Davide Cicchini" r:id="rId4">
    <sheetIdMap count="4">
      <sheetId val="1"/>
      <sheetId val="2"/>
      <sheetId val="3"/>
      <sheetId val="4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56548B1-AD9F-45D5-A6C9-CFD9EB8CFADF}" action="delete"/>
  <rcv guid="{C56548B1-AD9F-45D5-A6C9-CFD9EB8CFADF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2">
    <oc r="F33">
      <v>5</v>
    </oc>
    <nc r="F33">
      <v>30</v>
    </nc>
  </rcc>
  <rcv guid="{C56548B1-AD9F-45D5-A6C9-CFD9EB8CFADF}" action="delete"/>
  <rcv guid="{C56548B1-AD9F-45D5-A6C9-CFD9EB8CFADF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56548B1-AD9F-45D5-A6C9-CFD9EB8CFADF}" action="delete"/>
  <rcv guid="{C56548B1-AD9F-45D5-A6C9-CFD9EB8CFADF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avidecicchini.it/" TargetMode="External"/><Relationship Id="rId2" Type="http://schemas.openxmlformats.org/officeDocument/2006/relationships/hyperlink" Target="http://www.davidecicchini.it/" TargetMode="External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I17"/>
  <sheetViews>
    <sheetView showGridLines="0" showRowColHeaders="0" tabSelected="1" workbookViewId="0">
      <selection activeCell="G17" sqref="G17:I17"/>
    </sheetView>
  </sheetViews>
  <sheetFormatPr defaultRowHeight="15" x14ac:dyDescent="0.25"/>
  <cols>
    <col min="1" max="1" width="2.7109375" customWidth="1"/>
  </cols>
  <sheetData>
    <row r="5" spans="2:9" ht="15.75" x14ac:dyDescent="0.25">
      <c r="B5" s="137" t="s">
        <v>158</v>
      </c>
    </row>
    <row r="6" spans="2:9" ht="15.75" x14ac:dyDescent="0.25">
      <c r="B6" s="137" t="s">
        <v>157</v>
      </c>
    </row>
    <row r="8" spans="2:9" ht="15.75" x14ac:dyDescent="0.25">
      <c r="B8" s="137" t="s">
        <v>155</v>
      </c>
    </row>
    <row r="10" spans="2:9" ht="15.75" x14ac:dyDescent="0.25">
      <c r="B10" s="137" t="s">
        <v>156</v>
      </c>
    </row>
    <row r="11" spans="2:9" ht="15.75" x14ac:dyDescent="0.25">
      <c r="B11" s="137" t="s">
        <v>161</v>
      </c>
    </row>
    <row r="14" spans="2:9" x14ac:dyDescent="0.25">
      <c r="B14" s="202" t="s">
        <v>200</v>
      </c>
      <c r="C14" s="202"/>
      <c r="D14" s="202"/>
    </row>
    <row r="15" spans="2:9" x14ac:dyDescent="0.25">
      <c r="B15" s="200" t="s">
        <v>147</v>
      </c>
      <c r="C15" s="200"/>
      <c r="D15" s="200"/>
      <c r="G15" s="199" t="s">
        <v>146</v>
      </c>
      <c r="H15" s="199"/>
      <c r="I15" s="199"/>
    </row>
    <row r="17" spans="7:9" x14ac:dyDescent="0.25">
      <c r="G17" s="201" t="s">
        <v>147</v>
      </c>
      <c r="H17" s="201"/>
      <c r="I17" s="201"/>
    </row>
  </sheetData>
  <sheetProtection algorithmName="SHA-512" hashValue="ZdwU1RsS+mZvWgFQOMn0hZpuWRpW2s+uuN/9gZPFs9IUscMmDUqWpUwq2KcjAz1oPuj6wi9sCPIY+q3RqdOL/w==" saltValue="lBmt/K7LUmWgYr6TfUCYcg==" spinCount="100000" sheet="1" objects="1" scenarios="1" selectLockedCells="1"/>
  <customSheetViews>
    <customSheetView guid="{C56548B1-AD9F-45D5-A6C9-CFD9EB8CFADF}" showGridLines="0" showRowCol="0">
      <selection activeCell="G17" sqref="G17:I17"/>
      <pageMargins left="0.7" right="0.7" top="0.75" bottom="0.75" header="0.3" footer="0.3"/>
      <pageSetup paperSize="9" orientation="portrait" horizontalDpi="4294967293" verticalDpi="0" r:id="rId1"/>
    </customSheetView>
  </customSheetViews>
  <mergeCells count="4">
    <mergeCell ref="G15:I15"/>
    <mergeCell ref="B15:D15"/>
    <mergeCell ref="G17:I17"/>
    <mergeCell ref="B14:D14"/>
  </mergeCells>
  <hyperlinks>
    <hyperlink ref="B15" r:id="rId2"/>
    <hyperlink ref="G17" r:id="rId3"/>
  </hyperlinks>
  <pageMargins left="0.7" right="0.7" top="0.75" bottom="0.75" header="0.3" footer="0.3"/>
  <pageSetup paperSize="9" orientation="portrait" horizontalDpi="4294967293" verticalDpi="0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B2:Q426"/>
  <sheetViews>
    <sheetView showGridLines="0" showRowColHeaders="0" zoomScale="110" zoomScaleNormal="110" workbookViewId="0">
      <selection activeCell="F34" sqref="F34"/>
    </sheetView>
  </sheetViews>
  <sheetFormatPr defaultRowHeight="15" x14ac:dyDescent="0.25"/>
  <cols>
    <col min="1" max="1" width="2.28515625" customWidth="1"/>
    <col min="2" max="8" width="12.28515625" customWidth="1"/>
    <col min="9" max="9" width="11.7109375" customWidth="1"/>
    <col min="10" max="10" width="9" customWidth="1"/>
    <col min="11" max="12" width="9.42578125" customWidth="1"/>
    <col min="13" max="26" width="8.85546875" customWidth="1"/>
  </cols>
  <sheetData>
    <row r="2" spans="2:17" ht="15.75" x14ac:dyDescent="0.25">
      <c r="B2" s="234" t="s">
        <v>162</v>
      </c>
      <c r="C2" s="234"/>
      <c r="D2" s="234"/>
      <c r="E2" s="234"/>
      <c r="F2" s="234"/>
      <c r="G2" s="234"/>
      <c r="H2" s="234"/>
    </row>
    <row r="3" spans="2:17" x14ac:dyDescent="0.25"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x14ac:dyDescent="0.25">
      <c r="B4" s="203" t="s">
        <v>97</v>
      </c>
      <c r="C4" s="203"/>
      <c r="D4" s="203"/>
      <c r="E4" s="67"/>
      <c r="F4" s="67"/>
      <c r="G4" s="67"/>
      <c r="H4" s="80"/>
      <c r="I4" s="66"/>
      <c r="J4" s="66"/>
      <c r="K4" s="66"/>
      <c r="L4" s="66"/>
      <c r="M4" s="66"/>
      <c r="N4" s="66"/>
      <c r="O4" s="66"/>
      <c r="P4" s="66"/>
      <c r="Q4" s="66"/>
    </row>
    <row r="5" spans="2:17" ht="15.75" thickBot="1" x14ac:dyDescent="0.3">
      <c r="B5" s="68" t="s">
        <v>98</v>
      </c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</row>
    <row r="6" spans="2:17" ht="15" customHeight="1" thickTop="1" x14ac:dyDescent="0.25">
      <c r="B6" s="244" t="s">
        <v>43</v>
      </c>
      <c r="C6" s="245"/>
      <c r="D6" s="245"/>
      <c r="E6" s="245"/>
      <c r="F6" s="245"/>
      <c r="G6" s="245"/>
      <c r="H6" s="246"/>
      <c r="I6" s="69"/>
      <c r="J6" s="69"/>
      <c r="K6" s="66"/>
      <c r="L6" s="66"/>
      <c r="M6" s="66"/>
      <c r="N6" s="66"/>
      <c r="O6" s="66"/>
      <c r="P6" s="66"/>
      <c r="Q6" s="66"/>
    </row>
    <row r="7" spans="2:17" ht="15.75" thickBot="1" x14ac:dyDescent="0.3">
      <c r="B7" s="247"/>
      <c r="C7" s="248"/>
      <c r="D7" s="248"/>
      <c r="E7" s="248"/>
      <c r="F7" s="248"/>
      <c r="G7" s="248"/>
      <c r="H7" s="249"/>
      <c r="I7" s="69"/>
      <c r="J7" s="69"/>
      <c r="K7" s="66"/>
      <c r="L7" s="66"/>
      <c r="M7" s="66"/>
      <c r="N7" s="66"/>
      <c r="O7" s="66"/>
      <c r="P7" s="66"/>
      <c r="Q7" s="66"/>
    </row>
    <row r="8" spans="2:17" ht="15.75" thickTop="1" x14ac:dyDescent="0.25"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</row>
    <row r="9" spans="2:17" x14ac:dyDescent="0.25"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</row>
    <row r="10" spans="2:17" x14ac:dyDescent="0.25"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</row>
    <row r="11" spans="2:17" x14ac:dyDescent="0.25"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</row>
    <row r="12" spans="2:17" x14ac:dyDescent="0.25"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</row>
    <row r="13" spans="2:17" x14ac:dyDescent="0.25"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</row>
    <row r="14" spans="2:17" x14ac:dyDescent="0.25">
      <c r="B14" s="66"/>
      <c r="C14" s="66"/>
      <c r="D14" s="66"/>
      <c r="E14" s="66"/>
      <c r="F14" s="66"/>
      <c r="G14" s="66"/>
      <c r="H14" s="18"/>
      <c r="I14" s="18"/>
      <c r="J14" s="18"/>
      <c r="K14" s="66"/>
      <c r="L14" s="66"/>
      <c r="M14" s="66"/>
      <c r="N14" s="66"/>
      <c r="O14" s="66"/>
      <c r="P14" s="66"/>
      <c r="Q14" s="66"/>
    </row>
    <row r="15" spans="2:17" ht="15" customHeight="1" x14ac:dyDescent="0.25">
      <c r="B15" s="66"/>
      <c r="C15" s="66"/>
      <c r="D15" s="66"/>
      <c r="E15" s="66"/>
      <c r="F15" s="66"/>
      <c r="G15" s="70"/>
      <c r="H15" s="71"/>
      <c r="I15" s="71"/>
      <c r="J15" s="71"/>
      <c r="K15" s="66"/>
      <c r="L15" s="66"/>
      <c r="M15" s="66"/>
      <c r="N15" s="66"/>
      <c r="O15" s="66"/>
      <c r="P15" s="66"/>
      <c r="Q15" s="66"/>
    </row>
    <row r="16" spans="2:17" x14ac:dyDescent="0.25">
      <c r="B16" s="66"/>
      <c r="C16" s="66"/>
      <c r="D16" s="66"/>
      <c r="E16" s="66"/>
      <c r="F16" s="66"/>
      <c r="G16" s="70"/>
      <c r="H16" s="71"/>
      <c r="I16" s="71"/>
      <c r="J16" s="71"/>
      <c r="K16" s="66"/>
      <c r="L16" s="66"/>
      <c r="M16" s="66"/>
      <c r="N16" s="66"/>
      <c r="O16" s="66"/>
      <c r="P16" s="66"/>
      <c r="Q16" s="66"/>
    </row>
    <row r="17" spans="2:17" x14ac:dyDescent="0.25"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</row>
    <row r="18" spans="2:17" x14ac:dyDescent="0.25"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</row>
    <row r="19" spans="2:17" x14ac:dyDescent="0.25"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</row>
    <row r="20" spans="2:17" ht="15.75" thickBot="1" x14ac:dyDescent="0.3">
      <c r="B20" s="72" t="s">
        <v>99</v>
      </c>
      <c r="C20" s="18"/>
      <c r="D20" s="18"/>
      <c r="E20" s="18"/>
      <c r="F20" s="18"/>
      <c r="G20" s="18"/>
      <c r="H20" s="66"/>
      <c r="I20" s="66"/>
      <c r="J20" s="66"/>
      <c r="K20" s="66"/>
      <c r="L20" s="66"/>
      <c r="M20" s="66"/>
      <c r="N20" s="66"/>
      <c r="O20" s="66"/>
      <c r="P20" s="66"/>
      <c r="Q20" s="66"/>
    </row>
    <row r="21" spans="2:17" ht="15" customHeight="1" thickTop="1" x14ac:dyDescent="0.25">
      <c r="B21" s="244" t="s">
        <v>50</v>
      </c>
      <c r="C21" s="245"/>
      <c r="D21" s="245"/>
      <c r="E21" s="245"/>
      <c r="F21" s="245"/>
      <c r="G21" s="245"/>
      <c r="H21" s="246"/>
      <c r="I21" s="66"/>
      <c r="J21" s="66"/>
      <c r="K21" s="66"/>
      <c r="L21" s="66"/>
      <c r="M21" s="66"/>
      <c r="N21" s="66"/>
      <c r="O21" s="66"/>
      <c r="P21" s="66"/>
      <c r="Q21" s="66"/>
    </row>
    <row r="22" spans="2:17" ht="15.75" thickBot="1" x14ac:dyDescent="0.3">
      <c r="B22" s="247"/>
      <c r="C22" s="248"/>
      <c r="D22" s="248"/>
      <c r="E22" s="248"/>
      <c r="F22" s="248"/>
      <c r="G22" s="248"/>
      <c r="H22" s="249"/>
      <c r="I22" s="66"/>
      <c r="J22" s="66"/>
      <c r="K22" s="66"/>
      <c r="L22" s="66"/>
      <c r="M22" s="66"/>
      <c r="N22" s="66"/>
      <c r="O22" s="66"/>
      <c r="P22" s="66"/>
      <c r="Q22" s="66"/>
    </row>
    <row r="23" spans="2:17" ht="15" customHeight="1" thickTop="1" x14ac:dyDescent="0.25">
      <c r="B23" s="259" t="s">
        <v>103</v>
      </c>
      <c r="C23" s="260"/>
      <c r="D23" s="260"/>
      <c r="E23" s="260"/>
      <c r="F23" s="260"/>
      <c r="G23" s="260"/>
      <c r="H23" s="261"/>
      <c r="I23" s="66"/>
      <c r="J23" s="66"/>
      <c r="K23" s="66"/>
      <c r="L23" s="66"/>
      <c r="M23" s="66"/>
      <c r="N23" s="66"/>
      <c r="O23" s="66"/>
      <c r="P23" s="66"/>
      <c r="Q23" s="66"/>
    </row>
    <row r="24" spans="2:17" x14ac:dyDescent="0.25">
      <c r="B24" s="262"/>
      <c r="C24" s="263"/>
      <c r="D24" s="263"/>
      <c r="E24" s="263"/>
      <c r="F24" s="263"/>
      <c r="G24" s="263"/>
      <c r="H24" s="264"/>
      <c r="I24" s="66"/>
      <c r="J24" s="66"/>
      <c r="K24" s="66"/>
      <c r="L24" s="66"/>
      <c r="M24" s="66"/>
      <c r="N24" s="66"/>
      <c r="O24" s="66"/>
      <c r="P24" s="66"/>
      <c r="Q24" s="66"/>
    </row>
    <row r="25" spans="2:17" x14ac:dyDescent="0.25">
      <c r="B25" s="262"/>
      <c r="C25" s="263"/>
      <c r="D25" s="263"/>
      <c r="E25" s="263"/>
      <c r="F25" s="263"/>
      <c r="G25" s="263"/>
      <c r="H25" s="264"/>
      <c r="I25" s="66"/>
      <c r="J25" s="66"/>
      <c r="K25" s="66"/>
      <c r="L25" s="66"/>
      <c r="M25" s="66"/>
      <c r="N25" s="66"/>
      <c r="O25" s="66"/>
      <c r="P25" s="66"/>
      <c r="Q25" s="66"/>
    </row>
    <row r="26" spans="2:17" x14ac:dyDescent="0.25">
      <c r="B26" s="262"/>
      <c r="C26" s="263"/>
      <c r="D26" s="263"/>
      <c r="E26" s="263"/>
      <c r="F26" s="263"/>
      <c r="G26" s="263"/>
      <c r="H26" s="264"/>
      <c r="I26" s="66"/>
      <c r="J26" s="66"/>
      <c r="K26" s="66"/>
      <c r="L26" s="66"/>
      <c r="M26" s="66"/>
      <c r="N26" s="66"/>
      <c r="O26" s="66"/>
      <c r="P26" s="66"/>
      <c r="Q26" s="66"/>
    </row>
    <row r="27" spans="2:17" x14ac:dyDescent="0.25">
      <c r="B27" s="265"/>
      <c r="C27" s="266"/>
      <c r="D27" s="266"/>
      <c r="E27" s="266"/>
      <c r="F27" s="266"/>
      <c r="G27" s="266"/>
      <c r="H27" s="267"/>
      <c r="I27" s="66"/>
      <c r="J27" s="66"/>
      <c r="K27" s="66"/>
      <c r="L27" s="66"/>
      <c r="M27" s="66"/>
      <c r="N27" s="66"/>
      <c r="O27" s="66"/>
      <c r="P27" s="66"/>
      <c r="Q27" s="66"/>
    </row>
    <row r="28" spans="2:17" ht="6" customHeight="1" x14ac:dyDescent="0.25">
      <c r="B28" s="157"/>
      <c r="C28" s="157"/>
      <c r="D28" s="157"/>
      <c r="E28" s="157"/>
      <c r="F28" s="157"/>
      <c r="G28" s="157"/>
      <c r="H28" s="157"/>
      <c r="I28" s="66"/>
      <c r="J28" s="66"/>
      <c r="K28" s="66"/>
      <c r="L28" s="66"/>
      <c r="M28" s="66"/>
      <c r="N28" s="66"/>
      <c r="O28" s="66"/>
      <c r="P28" s="66"/>
      <c r="Q28" s="66"/>
    </row>
    <row r="29" spans="2:17" x14ac:dyDescent="0.25">
      <c r="B29" s="219" t="s">
        <v>180</v>
      </c>
      <c r="C29" s="219"/>
      <c r="D29" s="219"/>
      <c r="E29" s="219"/>
      <c r="F29" s="219"/>
      <c r="G29" s="219"/>
      <c r="H29" s="219"/>
      <c r="I29" s="66"/>
      <c r="J29" s="66"/>
      <c r="K29" s="66"/>
      <c r="L29" s="66"/>
      <c r="M29" s="66"/>
      <c r="N29" s="66"/>
      <c r="O29" s="66"/>
      <c r="P29" s="66"/>
      <c r="Q29" s="66"/>
    </row>
    <row r="30" spans="2:17" x14ac:dyDescent="0.25">
      <c r="B30" s="219"/>
      <c r="C30" s="219"/>
      <c r="D30" s="219"/>
      <c r="E30" s="219"/>
      <c r="F30" s="219"/>
      <c r="G30" s="219"/>
      <c r="H30" s="219"/>
      <c r="I30" s="66"/>
      <c r="J30" s="66"/>
      <c r="K30" s="66"/>
      <c r="L30" s="66"/>
      <c r="M30" s="66"/>
      <c r="N30" s="66"/>
      <c r="O30" s="66"/>
      <c r="P30" s="66"/>
      <c r="Q30" s="66"/>
    </row>
    <row r="31" spans="2:17" ht="6.75" customHeight="1" thickBot="1" x14ac:dyDescent="0.3">
      <c r="B31" s="172"/>
      <c r="C31" s="172"/>
      <c r="D31" s="172"/>
      <c r="E31" s="172"/>
      <c r="F31" s="172"/>
      <c r="G31" s="172"/>
      <c r="H31" s="172"/>
      <c r="I31" s="66"/>
      <c r="J31" s="66"/>
      <c r="K31" s="66"/>
      <c r="L31" s="66"/>
      <c r="M31" s="66"/>
      <c r="N31" s="66"/>
      <c r="O31" s="66"/>
      <c r="P31" s="66"/>
      <c r="Q31" s="66"/>
    </row>
    <row r="32" spans="2:17" ht="17.25" thickTop="1" thickBot="1" x14ac:dyDescent="0.3">
      <c r="B32" s="235" t="s">
        <v>124</v>
      </c>
      <c r="C32" s="235"/>
      <c r="D32" s="235"/>
      <c r="E32" s="73"/>
      <c r="F32" s="175">
        <v>0</v>
      </c>
      <c r="G32" s="66" t="s">
        <v>95</v>
      </c>
      <c r="H32" s="155" t="str">
        <f>IF(F32&lt;0,"ERROR!","")</f>
        <v/>
      </c>
      <c r="I32" s="66"/>
      <c r="J32" s="66"/>
      <c r="K32" s="66"/>
      <c r="L32" s="66"/>
      <c r="M32" s="66"/>
      <c r="N32" s="66"/>
      <c r="O32" s="66"/>
      <c r="P32" s="66"/>
      <c r="Q32" s="66"/>
    </row>
    <row r="33" spans="2:17" ht="17.25" thickTop="1" thickBot="1" x14ac:dyDescent="0.3">
      <c r="B33" s="217" t="s">
        <v>178</v>
      </c>
      <c r="C33" s="217"/>
      <c r="D33" s="217"/>
      <c r="E33" s="218"/>
      <c r="F33" s="175">
        <v>30</v>
      </c>
      <c r="G33" s="66" t="s">
        <v>179</v>
      </c>
      <c r="H33" s="155"/>
      <c r="I33" s="66"/>
      <c r="J33" s="66"/>
      <c r="K33" s="66"/>
      <c r="L33" s="66"/>
      <c r="M33" s="66"/>
      <c r="N33" s="66"/>
      <c r="O33" s="66"/>
      <c r="P33" s="66"/>
      <c r="Q33" s="66"/>
    </row>
    <row r="34" spans="2:17" ht="16.5" thickTop="1" thickBot="1" x14ac:dyDescent="0.3">
      <c r="B34" s="235" t="s">
        <v>181</v>
      </c>
      <c r="C34" s="235"/>
      <c r="D34" s="235"/>
      <c r="E34" s="73"/>
      <c r="F34" s="176">
        <v>50</v>
      </c>
      <c r="G34" s="66" t="s">
        <v>96</v>
      </c>
      <c r="H34" s="66"/>
      <c r="I34" s="66"/>
      <c r="J34" s="66"/>
      <c r="K34" s="66"/>
      <c r="L34" s="66"/>
      <c r="M34" s="66"/>
      <c r="N34" s="66"/>
      <c r="O34" s="66"/>
      <c r="P34" s="66"/>
      <c r="Q34" s="66"/>
    </row>
    <row r="35" spans="2:17" ht="16.5" thickTop="1" thickBot="1" x14ac:dyDescent="0.3">
      <c r="B35" s="235" t="s">
        <v>182</v>
      </c>
      <c r="C35" s="235"/>
      <c r="D35" s="235"/>
      <c r="E35" s="218"/>
      <c r="F35" s="177">
        <v>6</v>
      </c>
      <c r="G35" s="66" t="s">
        <v>95</v>
      </c>
      <c r="H35" s="154" t="str">
        <f>IF(F35&gt;200,"ERROR!",IF(F35&lt;0,"ERROR!",""))</f>
        <v/>
      </c>
      <c r="I35" s="66"/>
      <c r="J35" s="66"/>
      <c r="K35" s="66"/>
      <c r="L35" s="66"/>
      <c r="M35" s="66"/>
      <c r="N35" s="66"/>
      <c r="O35" s="66"/>
      <c r="P35" s="66"/>
      <c r="Q35" s="66"/>
    </row>
    <row r="36" spans="2:17" ht="4.5" customHeight="1" thickTop="1" x14ac:dyDescent="0.25">
      <c r="B36" s="156"/>
      <c r="C36" s="156"/>
      <c r="D36" s="156"/>
      <c r="E36" s="156"/>
      <c r="F36" s="173"/>
      <c r="G36" s="66"/>
      <c r="H36" s="154"/>
      <c r="I36" s="66"/>
      <c r="J36" s="66"/>
      <c r="K36" s="66"/>
      <c r="L36" s="66"/>
      <c r="M36" s="66"/>
      <c r="N36" s="66"/>
      <c r="O36" s="66"/>
      <c r="P36" s="66"/>
      <c r="Q36" s="66"/>
    </row>
    <row r="37" spans="2:17" x14ac:dyDescent="0.25">
      <c r="B37" s="217" t="s">
        <v>183</v>
      </c>
      <c r="C37" s="217"/>
      <c r="D37" s="217"/>
      <c r="E37" s="235"/>
      <c r="F37" s="174" t="str">
        <f>VLOOKUP('dati nascosti'!Y15,'dati nascosti'!Y4:Z12,2,FALSE)</f>
        <v>IV</v>
      </c>
      <c r="G37" s="18"/>
      <c r="H37" s="18"/>
      <c r="I37" s="18"/>
      <c r="J37" s="18"/>
      <c r="K37" s="66"/>
      <c r="L37" s="66"/>
      <c r="M37" s="66"/>
      <c r="N37" s="66"/>
      <c r="O37" s="66"/>
      <c r="P37" s="66"/>
      <c r="Q37" s="66"/>
    </row>
    <row r="38" spans="2:17" x14ac:dyDescent="0.25">
      <c r="B38" s="18"/>
      <c r="C38" s="18"/>
      <c r="D38" s="18"/>
      <c r="E38" s="18"/>
      <c r="F38" s="18"/>
      <c r="G38" s="18"/>
      <c r="H38" s="18"/>
      <c r="I38" s="18"/>
      <c r="J38" s="18"/>
      <c r="K38" s="66"/>
      <c r="L38" s="66"/>
      <c r="M38" s="66"/>
      <c r="N38" s="66"/>
      <c r="O38" s="66"/>
      <c r="P38" s="66"/>
      <c r="Q38" s="66"/>
    </row>
    <row r="39" spans="2:17" x14ac:dyDescent="0.25">
      <c r="B39" s="18"/>
      <c r="C39" s="18"/>
      <c r="D39" s="18"/>
      <c r="E39" s="18"/>
      <c r="F39" s="18"/>
      <c r="G39" s="18"/>
      <c r="H39" s="18"/>
      <c r="I39" s="18"/>
      <c r="J39" s="18"/>
      <c r="K39" s="66"/>
      <c r="L39" s="66"/>
      <c r="M39" s="66"/>
      <c r="N39" s="66"/>
      <c r="O39" s="66"/>
      <c r="P39" s="66"/>
      <c r="Q39" s="66"/>
    </row>
    <row r="40" spans="2:17" x14ac:dyDescent="0.25">
      <c r="B40" s="18"/>
      <c r="C40" s="18"/>
      <c r="D40" s="18"/>
      <c r="E40" s="18"/>
      <c r="F40" s="18"/>
      <c r="G40" s="18"/>
      <c r="H40" s="18"/>
      <c r="I40" s="18"/>
      <c r="J40" s="18"/>
      <c r="K40" s="66"/>
      <c r="L40" s="66"/>
      <c r="M40" s="66"/>
      <c r="N40" s="66"/>
      <c r="O40" s="66"/>
      <c r="P40" s="66"/>
      <c r="Q40" s="66"/>
    </row>
    <row r="41" spans="2:17" x14ac:dyDescent="0.25">
      <c r="B41" s="18"/>
      <c r="C41" s="18"/>
      <c r="D41" s="18"/>
      <c r="E41" s="18"/>
      <c r="F41" s="18"/>
      <c r="G41" s="18"/>
      <c r="H41" s="18"/>
      <c r="I41" s="18"/>
      <c r="J41" s="18"/>
      <c r="K41" s="66"/>
      <c r="L41" s="66"/>
      <c r="M41" s="66"/>
      <c r="N41" s="66"/>
      <c r="O41" s="66"/>
      <c r="P41" s="66"/>
      <c r="Q41" s="66"/>
    </row>
    <row r="42" spans="2:17" x14ac:dyDescent="0.25">
      <c r="B42" s="18"/>
      <c r="C42" s="18"/>
      <c r="D42" s="18"/>
      <c r="E42" s="18"/>
      <c r="F42" s="18"/>
      <c r="G42" s="18"/>
      <c r="H42" s="18"/>
      <c r="I42" s="18"/>
      <c r="J42" s="18"/>
      <c r="K42" s="66"/>
      <c r="L42" s="66"/>
      <c r="M42" s="66"/>
      <c r="N42" s="66"/>
      <c r="O42" s="66"/>
      <c r="P42" s="66"/>
      <c r="Q42" s="66"/>
    </row>
    <row r="43" spans="2:17" x14ac:dyDescent="0.25">
      <c r="B43" s="18"/>
      <c r="C43" s="18"/>
      <c r="D43" s="18"/>
      <c r="E43" s="18"/>
      <c r="F43" s="18"/>
      <c r="G43" s="66"/>
      <c r="H43" s="18"/>
      <c r="I43" s="18"/>
      <c r="J43" s="18"/>
      <c r="K43" s="66"/>
      <c r="L43" s="66"/>
      <c r="M43" s="66"/>
      <c r="N43" s="66"/>
      <c r="O43" s="66"/>
      <c r="P43" s="66"/>
      <c r="Q43" s="66"/>
    </row>
    <row r="44" spans="2:17" x14ac:dyDescent="0.25">
      <c r="B44" s="18"/>
      <c r="C44" s="18"/>
      <c r="D44" s="18"/>
      <c r="E44" s="18"/>
      <c r="F44" s="18"/>
      <c r="G44" s="66"/>
      <c r="H44" s="18"/>
      <c r="I44" s="18"/>
      <c r="J44" s="18"/>
      <c r="K44" s="66"/>
      <c r="L44" s="66"/>
      <c r="M44" s="66"/>
      <c r="N44" s="66"/>
      <c r="O44" s="66"/>
      <c r="P44" s="66"/>
      <c r="Q44" s="66"/>
    </row>
    <row r="45" spans="2:17" x14ac:dyDescent="0.25">
      <c r="B45" s="18"/>
      <c r="C45" s="18"/>
      <c r="D45" s="18"/>
      <c r="E45" s="18"/>
      <c r="F45" s="18"/>
      <c r="G45" s="18"/>
      <c r="H45" s="18"/>
      <c r="I45" s="18"/>
      <c r="J45" s="18"/>
      <c r="K45" s="66"/>
      <c r="L45" s="66"/>
      <c r="M45" s="66"/>
      <c r="N45" s="66"/>
      <c r="O45" s="66"/>
      <c r="P45" s="66"/>
      <c r="Q45" s="66"/>
    </row>
    <row r="46" spans="2:17" x14ac:dyDescent="0.25">
      <c r="B46" s="18"/>
      <c r="C46" s="18"/>
      <c r="D46" s="18"/>
      <c r="E46" s="18"/>
      <c r="F46" s="18"/>
      <c r="G46" s="18"/>
      <c r="H46" s="18"/>
      <c r="I46" s="18"/>
      <c r="J46" s="18"/>
      <c r="K46" s="66"/>
      <c r="L46" s="66"/>
      <c r="M46" s="66"/>
      <c r="N46" s="66"/>
      <c r="O46" s="66"/>
      <c r="P46" s="66"/>
      <c r="Q46" s="66"/>
    </row>
    <row r="47" spans="2:17" x14ac:dyDescent="0.25">
      <c r="B47" s="18"/>
      <c r="C47" s="18"/>
      <c r="D47" s="18"/>
      <c r="E47" s="18"/>
      <c r="F47" s="18"/>
      <c r="G47" s="18"/>
      <c r="H47" s="18"/>
      <c r="I47" s="18"/>
      <c r="J47" s="18"/>
      <c r="K47" s="66"/>
      <c r="L47" s="66"/>
      <c r="M47" s="66"/>
      <c r="N47" s="66"/>
      <c r="O47" s="66"/>
      <c r="P47" s="66"/>
      <c r="Q47" s="66"/>
    </row>
    <row r="48" spans="2:17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66"/>
      <c r="L48" s="66"/>
      <c r="M48" s="66"/>
      <c r="N48" s="66"/>
      <c r="O48" s="66"/>
      <c r="P48" s="66"/>
      <c r="Q48" s="66"/>
    </row>
    <row r="49" spans="2:17" x14ac:dyDescent="0.25">
      <c r="B49" s="18"/>
      <c r="C49" s="18"/>
      <c r="D49" s="18"/>
      <c r="E49" s="18"/>
      <c r="F49" s="18"/>
      <c r="G49" s="18"/>
      <c r="H49" s="18"/>
      <c r="I49" s="18"/>
      <c r="J49" s="18"/>
      <c r="K49" s="66"/>
      <c r="L49" s="66"/>
      <c r="M49" s="66"/>
      <c r="N49" s="66"/>
      <c r="O49" s="66"/>
      <c r="P49" s="66"/>
      <c r="Q49" s="66"/>
    </row>
    <row r="50" spans="2:17" ht="16.149999999999999" customHeight="1" x14ac:dyDescent="0.25">
      <c r="B50" s="18"/>
      <c r="C50" s="18"/>
      <c r="D50" s="18"/>
      <c r="E50" s="18"/>
      <c r="F50" s="18"/>
      <c r="G50" s="18"/>
      <c r="H50" s="18"/>
      <c r="I50" s="18"/>
      <c r="J50" s="18"/>
      <c r="K50" s="66"/>
      <c r="L50" s="66"/>
      <c r="M50" s="66"/>
      <c r="N50" s="66"/>
      <c r="O50" s="66"/>
      <c r="P50" s="66"/>
      <c r="Q50" s="66"/>
    </row>
    <row r="51" spans="2:17" x14ac:dyDescent="0.25">
      <c r="B51" s="18"/>
      <c r="C51" s="18"/>
      <c r="D51" s="18"/>
      <c r="E51" s="18"/>
      <c r="F51" s="18"/>
      <c r="G51" s="18"/>
      <c r="H51" s="18"/>
      <c r="I51" s="18"/>
      <c r="J51" s="18"/>
      <c r="K51" s="66"/>
      <c r="L51" s="66"/>
      <c r="M51" s="66"/>
      <c r="N51" s="66"/>
      <c r="O51" s="66"/>
      <c r="P51" s="66"/>
      <c r="Q51" s="66"/>
    </row>
    <row r="52" spans="2:17" x14ac:dyDescent="0.25">
      <c r="B52" s="18"/>
      <c r="C52" s="18"/>
      <c r="D52" s="18"/>
      <c r="E52" s="18"/>
      <c r="F52" s="18"/>
      <c r="G52" s="18"/>
      <c r="H52" s="18"/>
      <c r="I52" s="18"/>
      <c r="J52" s="18"/>
      <c r="K52" s="66"/>
      <c r="L52" s="66"/>
      <c r="M52" s="66"/>
      <c r="N52" s="66"/>
      <c r="O52" s="66"/>
      <c r="P52" s="66"/>
      <c r="Q52" s="66"/>
    </row>
    <row r="53" spans="2:17" x14ac:dyDescent="0.25">
      <c r="B53" s="18"/>
      <c r="C53" s="18"/>
      <c r="D53" s="18"/>
      <c r="E53" s="18"/>
      <c r="F53" s="18"/>
      <c r="G53" s="18"/>
      <c r="H53" s="18"/>
      <c r="I53" s="18"/>
      <c r="J53" s="18"/>
      <c r="K53" s="66"/>
      <c r="L53" s="66"/>
      <c r="M53" s="66"/>
      <c r="N53" s="66"/>
      <c r="O53" s="66"/>
      <c r="P53" s="66"/>
      <c r="Q53" s="66"/>
    </row>
    <row r="54" spans="2:17" x14ac:dyDescent="0.25">
      <c r="B54" s="18"/>
      <c r="C54" s="18"/>
      <c r="D54" s="18"/>
      <c r="E54" s="18"/>
      <c r="F54" s="18"/>
      <c r="G54" s="18"/>
      <c r="H54" s="18"/>
      <c r="I54" s="18"/>
      <c r="J54" s="18"/>
      <c r="K54" s="66"/>
      <c r="L54" s="66"/>
      <c r="M54" s="66"/>
      <c r="N54" s="66"/>
      <c r="O54" s="66"/>
      <c r="P54" s="66"/>
      <c r="Q54" s="66"/>
    </row>
    <row r="55" spans="2:17" x14ac:dyDescent="0.25">
      <c r="B55" s="18"/>
      <c r="C55" s="18"/>
      <c r="D55" s="18"/>
      <c r="E55" s="18"/>
      <c r="F55" s="18"/>
      <c r="G55" s="18"/>
      <c r="H55" s="18"/>
      <c r="I55" s="18"/>
      <c r="J55" s="18"/>
      <c r="K55" s="66"/>
      <c r="L55" s="66"/>
      <c r="M55" s="66"/>
      <c r="N55" s="66"/>
      <c r="O55" s="66"/>
      <c r="P55" s="66"/>
      <c r="Q55" s="66"/>
    </row>
    <row r="56" spans="2:17" x14ac:dyDescent="0.25">
      <c r="B56" s="18"/>
      <c r="C56" s="18"/>
      <c r="D56" s="18"/>
      <c r="E56" s="18"/>
      <c r="F56" s="18"/>
      <c r="G56" s="18"/>
      <c r="H56" s="18"/>
      <c r="I56" s="18"/>
      <c r="J56" s="18"/>
      <c r="K56" s="66"/>
      <c r="L56" s="66"/>
      <c r="M56" s="66"/>
      <c r="N56" s="66"/>
      <c r="O56" s="66"/>
      <c r="P56" s="66"/>
      <c r="Q56" s="66"/>
    </row>
    <row r="57" spans="2:17" x14ac:dyDescent="0.25">
      <c r="B57" s="18"/>
      <c r="C57" s="18"/>
      <c r="D57" s="18"/>
      <c r="E57" s="18"/>
      <c r="F57" s="18"/>
      <c r="G57" s="18"/>
      <c r="H57" s="18"/>
      <c r="I57" s="18"/>
      <c r="J57" s="18"/>
      <c r="K57" s="66"/>
      <c r="L57" s="66"/>
      <c r="M57" s="66"/>
      <c r="N57" s="66"/>
      <c r="O57" s="66"/>
      <c r="P57" s="66"/>
      <c r="Q57" s="66"/>
    </row>
    <row r="58" spans="2:17" x14ac:dyDescent="0.25">
      <c r="B58" s="18"/>
      <c r="C58" s="18"/>
      <c r="D58" s="18"/>
      <c r="E58" s="18"/>
      <c r="F58" s="18"/>
      <c r="G58" s="18"/>
      <c r="H58" s="18"/>
      <c r="I58" s="18"/>
      <c r="J58" s="18"/>
      <c r="K58" s="66"/>
      <c r="L58" s="66"/>
      <c r="M58" s="66"/>
      <c r="N58" s="66"/>
      <c r="O58" s="66"/>
      <c r="P58" s="66"/>
      <c r="Q58" s="66"/>
    </row>
    <row r="59" spans="2:17" x14ac:dyDescent="0.25">
      <c r="B59" s="18"/>
      <c r="C59" s="18"/>
      <c r="D59" s="18"/>
      <c r="E59" s="18"/>
      <c r="F59" s="18"/>
      <c r="G59" s="18"/>
      <c r="H59" s="18"/>
      <c r="I59" s="18"/>
      <c r="J59" s="18"/>
      <c r="K59" s="66"/>
      <c r="L59" s="66"/>
      <c r="M59" s="66"/>
      <c r="N59" s="66"/>
      <c r="O59" s="66"/>
      <c r="P59" s="66"/>
      <c r="Q59" s="66"/>
    </row>
    <row r="60" spans="2:17" x14ac:dyDescent="0.25">
      <c r="B60" s="18"/>
      <c r="C60" s="18"/>
      <c r="D60" s="18"/>
      <c r="E60" s="18"/>
      <c r="F60" s="18"/>
      <c r="G60" s="18"/>
      <c r="H60" s="18"/>
      <c r="I60" s="18"/>
      <c r="J60" s="18"/>
      <c r="K60" s="66"/>
      <c r="L60" s="66"/>
      <c r="M60" s="66"/>
      <c r="N60" s="66"/>
      <c r="O60" s="66"/>
      <c r="P60" s="66"/>
      <c r="Q60" s="66"/>
    </row>
    <row r="61" spans="2:17" x14ac:dyDescent="0.25">
      <c r="B61" s="74"/>
      <c r="C61" s="74"/>
      <c r="D61" s="74"/>
      <c r="E61" s="75"/>
      <c r="F61" s="18"/>
      <c r="G61" s="18"/>
      <c r="H61" s="18"/>
      <c r="I61" s="18"/>
      <c r="J61" s="18"/>
      <c r="K61" s="66"/>
      <c r="L61" s="66"/>
      <c r="M61" s="66"/>
      <c r="N61" s="66"/>
      <c r="O61" s="66"/>
      <c r="P61" s="66"/>
      <c r="Q61" s="66"/>
    </row>
    <row r="62" spans="2:17" x14ac:dyDescent="0.25">
      <c r="B62" s="76"/>
      <c r="C62" s="77"/>
      <c r="D62" s="77"/>
      <c r="E62" s="78"/>
      <c r="F62" s="78"/>
      <c r="G62" s="78"/>
      <c r="H62" s="18"/>
      <c r="I62" s="18"/>
      <c r="J62" s="18"/>
      <c r="K62" s="66"/>
      <c r="L62" s="66"/>
      <c r="M62" s="66"/>
      <c r="N62" s="66"/>
      <c r="O62" s="66"/>
      <c r="P62" s="66"/>
      <c r="Q62" s="66"/>
    </row>
    <row r="63" spans="2:17" x14ac:dyDescent="0.25">
      <c r="B63" s="76"/>
      <c r="C63" s="77"/>
      <c r="D63" s="77"/>
      <c r="E63" s="78"/>
      <c r="F63" s="78"/>
      <c r="G63" s="78"/>
      <c r="H63" s="18"/>
      <c r="I63" s="18"/>
      <c r="J63" s="18"/>
      <c r="K63" s="66"/>
      <c r="L63" s="66"/>
      <c r="M63" s="66"/>
      <c r="N63" s="66"/>
      <c r="O63" s="66"/>
      <c r="P63" s="66"/>
      <c r="Q63" s="66"/>
    </row>
    <row r="64" spans="2:17" x14ac:dyDescent="0.25">
      <c r="B64" s="215" t="s">
        <v>184</v>
      </c>
      <c r="C64" s="215"/>
      <c r="D64" s="215"/>
      <c r="E64" s="215"/>
      <c r="F64" s="215"/>
      <c r="G64" s="215"/>
      <c r="H64" s="215"/>
      <c r="I64" s="18"/>
      <c r="J64" s="18"/>
      <c r="K64" s="66"/>
      <c r="L64" s="66"/>
      <c r="M64" s="66"/>
      <c r="N64" s="66"/>
      <c r="O64" s="66"/>
      <c r="P64" s="66"/>
      <c r="Q64" s="66"/>
    </row>
    <row r="65" spans="2:17" x14ac:dyDescent="0.25">
      <c r="B65" s="66"/>
      <c r="C65" s="66"/>
      <c r="D65" s="66"/>
      <c r="E65" s="66"/>
      <c r="F65" s="66"/>
      <c r="G65" s="66"/>
      <c r="H65" s="66"/>
      <c r="I65" s="18"/>
      <c r="J65" s="18"/>
      <c r="K65" s="66"/>
      <c r="L65" s="66"/>
      <c r="M65" s="66"/>
      <c r="N65" s="66"/>
      <c r="O65" s="66"/>
      <c r="P65" s="66"/>
      <c r="Q65" s="66"/>
    </row>
    <row r="66" spans="2:17" ht="15.75" thickBot="1" x14ac:dyDescent="0.3">
      <c r="B66" s="105"/>
      <c r="C66" s="105"/>
      <c r="D66" s="66"/>
      <c r="E66" s="66"/>
      <c r="F66" s="66"/>
      <c r="G66" s="66"/>
      <c r="H66" s="66"/>
      <c r="I66" s="18"/>
      <c r="J66" s="18"/>
      <c r="K66" s="66"/>
      <c r="L66" s="66"/>
      <c r="M66" s="66"/>
      <c r="N66" s="66"/>
      <c r="O66" s="66"/>
      <c r="P66" s="66"/>
      <c r="Q66" s="66"/>
    </row>
    <row r="67" spans="2:17" ht="16.5" thickTop="1" thickBot="1" x14ac:dyDescent="0.3">
      <c r="B67" s="105"/>
      <c r="C67" s="180">
        <v>9</v>
      </c>
      <c r="D67" s="106" t="str">
        <f>IF(C67&lt;F35,"ERROR (&lt; z)!","")</f>
        <v/>
      </c>
      <c r="E67" s="105"/>
      <c r="F67" s="105"/>
      <c r="G67" s="66"/>
      <c r="H67" s="66"/>
      <c r="I67" s="18"/>
      <c r="J67" s="18"/>
      <c r="K67" s="66"/>
      <c r="L67" s="66"/>
      <c r="M67" s="66"/>
      <c r="N67" s="66"/>
      <c r="O67" s="66"/>
      <c r="P67" s="66"/>
      <c r="Q67" s="66"/>
    </row>
    <row r="68" spans="2:17" ht="15.75" thickTop="1" x14ac:dyDescent="0.25">
      <c r="B68" s="107"/>
      <c r="C68" s="23"/>
      <c r="D68" s="108"/>
      <c r="E68" s="109"/>
      <c r="F68" s="105"/>
      <c r="G68" s="66"/>
      <c r="H68" s="66"/>
      <c r="I68" s="18"/>
      <c r="J68" s="18"/>
      <c r="K68" s="66"/>
      <c r="L68" s="66"/>
      <c r="M68" s="66"/>
      <c r="N68" s="66"/>
      <c r="O68" s="66"/>
      <c r="P68" s="66"/>
      <c r="Q68" s="66"/>
    </row>
    <row r="69" spans="2:17" ht="15.75" thickBot="1" x14ac:dyDescent="0.3">
      <c r="B69" s="110">
        <f>F35</f>
        <v>6</v>
      </c>
      <c r="C69" s="111"/>
      <c r="D69" s="105"/>
      <c r="E69" s="105"/>
      <c r="F69" s="109"/>
      <c r="G69" s="66"/>
      <c r="H69" s="66"/>
      <c r="I69" s="18"/>
      <c r="J69" s="18"/>
      <c r="K69" s="66"/>
      <c r="L69" s="66"/>
      <c r="M69" s="66"/>
      <c r="N69" s="66"/>
      <c r="O69" s="66"/>
      <c r="P69" s="66"/>
      <c r="Q69" s="66"/>
    </row>
    <row r="70" spans="2:17" ht="16.5" thickTop="1" thickBot="1" x14ac:dyDescent="0.3">
      <c r="B70" s="66"/>
      <c r="C70" s="112"/>
      <c r="D70" s="181">
        <v>24</v>
      </c>
      <c r="E70" s="105"/>
      <c r="F70" s="113"/>
      <c r="G70" s="66"/>
      <c r="H70" s="66"/>
      <c r="I70" s="18"/>
      <c r="J70" s="18"/>
      <c r="K70" s="66"/>
      <c r="L70" s="66"/>
      <c r="M70" s="66"/>
      <c r="N70" s="66"/>
      <c r="O70" s="66"/>
      <c r="P70" s="66"/>
      <c r="Q70" s="66"/>
    </row>
    <row r="71" spans="2:17" ht="15.75" thickTop="1" x14ac:dyDescent="0.25">
      <c r="B71" s="76"/>
      <c r="C71" s="77"/>
      <c r="D71" s="77"/>
      <c r="E71" s="78"/>
      <c r="F71" s="78"/>
      <c r="G71" s="78"/>
      <c r="H71" s="18"/>
      <c r="I71" s="18"/>
      <c r="J71" s="18"/>
      <c r="K71" s="66"/>
      <c r="L71" s="66"/>
      <c r="M71" s="66"/>
      <c r="N71" s="66"/>
      <c r="O71" s="66"/>
      <c r="P71" s="66"/>
      <c r="Q71" s="66"/>
    </row>
    <row r="72" spans="2:17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66"/>
      <c r="L72" s="66"/>
      <c r="M72" s="66"/>
      <c r="N72" s="66"/>
      <c r="O72" s="66"/>
      <c r="P72" s="66"/>
      <c r="Q72" s="66"/>
    </row>
    <row r="73" spans="2:17" x14ac:dyDescent="0.25">
      <c r="B73" s="79" t="s">
        <v>143</v>
      </c>
      <c r="C73" s="80"/>
      <c r="D73" s="80"/>
      <c r="E73" s="80"/>
      <c r="F73" s="81"/>
      <c r="G73" s="81"/>
      <c r="H73" s="81"/>
      <c r="I73" s="18"/>
      <c r="J73" s="18"/>
    </row>
    <row r="74" spans="2:17" x14ac:dyDescent="0.25">
      <c r="B74" s="18"/>
      <c r="C74" s="18"/>
      <c r="D74" s="18"/>
      <c r="E74" s="18"/>
      <c r="F74" s="66"/>
      <c r="G74" s="66"/>
      <c r="H74" s="66"/>
      <c r="I74" s="66"/>
      <c r="J74" s="66"/>
    </row>
    <row r="75" spans="2:17" ht="15.75" x14ac:dyDescent="0.25">
      <c r="B75" s="143" t="s">
        <v>39</v>
      </c>
      <c r="C75" s="143" t="s">
        <v>36</v>
      </c>
      <c r="D75" s="143" t="s">
        <v>37</v>
      </c>
      <c r="E75" s="143" t="s">
        <v>38</v>
      </c>
      <c r="F75" s="66"/>
      <c r="G75" s="66"/>
      <c r="H75" s="66"/>
      <c r="I75" s="66"/>
      <c r="J75" s="66"/>
    </row>
    <row r="76" spans="2:17" x14ac:dyDescent="0.25">
      <c r="B76" s="143">
        <f>IF($B$6='DATI NTC'!$B$4,'DATI NTC'!C4,IF($B$6='DATI NTC'!$B$5,'DATI NTC'!C5,IF($B$6='DATI NTC'!$B$6,'DATI NTC'!C6,IF($B$6='DATI NTC'!$B$7,'DATI NTC'!C7,IF($B$6='DATI NTC'!$B$8,'DATI NTC'!C8,IF($B$6='DATI NTC'!$B$9,'DATI NTC'!C9,IF($B$6='DATI NTC'!$B$10,'DATI NTC'!C10,IF($B$6='DATI NTC'!$B$11,'DATI NTC'!C11,IF($B$6='DATI NTC'!$B$12,'DATI NTC'!C12,"")))))))))</f>
        <v>4</v>
      </c>
      <c r="C76" s="143">
        <f>IF($B$6='DATI NTC'!$B$4,'DATI NTC'!D4,IF($B$6='DATI NTC'!$B$5,'DATI NTC'!D5,IF($B$6='DATI NTC'!$B$6,'DATI NTC'!D6,IF($B$6='DATI NTC'!$B$7,'DATI NTC'!D7,IF($B$6='DATI NTC'!$B$8,'DATI NTC'!D8,IF($B$6='DATI NTC'!$B$9,'DATI NTC'!D9,IF($B$6='DATI NTC'!$B$10,'DATI NTC'!D10,IF($B$6='DATI NTC'!$B$11,'DATI NTC'!D11,IF($B$6='DATI NTC'!$B$12,'DATI NTC'!D12,"")))))))))</f>
        <v>28</v>
      </c>
      <c r="D76" s="143">
        <f>IF($B$6='DATI NTC'!$B$4,'DATI NTC'!E4,IF($B$6='DATI NTC'!$B$5,'DATI NTC'!E5,IF($B$6='DATI NTC'!$B$6,'DATI NTC'!E6,IF($B$6='DATI NTC'!$B$7,'DATI NTC'!E7,IF($B$6='DATI NTC'!$B$8,'DATI NTC'!E8,IF($B$6='DATI NTC'!$B$9,'DATI NTC'!E9,IF($B$6='DATI NTC'!$B$10,'DATI NTC'!E10,IF($B$6='DATI NTC'!$B$11,'DATI NTC'!E11,IF($B$6='DATI NTC'!$B$12,'DATI NTC'!E12,"")))))))))</f>
        <v>500</v>
      </c>
      <c r="E76" s="143">
        <f>IF($B$6='DATI NTC'!$B$4,'DATI NTC'!F4,IF($B$6='DATI NTC'!$B$5,'DATI NTC'!F5,IF($B$6='DATI NTC'!$B$6,'DATI NTC'!F6,IF($B$6='DATI NTC'!$B$7,'DATI NTC'!F7,IF($B$6='DATI NTC'!$B$8,'DATI NTC'!F8,IF($B$6='DATI NTC'!$B$9,'DATI NTC'!F9,IF($B$6='DATI NTC'!$B$10,'DATI NTC'!F10,IF($B$6='DATI NTC'!$B$11,'DATI NTC'!F11,IF($B$6='DATI NTC'!$B$12,'DATI NTC'!F12,"")))))))))</f>
        <v>0.02</v>
      </c>
      <c r="F76" s="66"/>
      <c r="G76" s="66"/>
      <c r="H76" s="66"/>
      <c r="I76" s="66"/>
      <c r="J76" s="66"/>
    </row>
    <row r="77" spans="2:17" x14ac:dyDescent="0.25">
      <c r="B77" s="18"/>
      <c r="C77" s="18"/>
      <c r="D77" s="18"/>
      <c r="E77" s="18"/>
      <c r="F77" s="18"/>
      <c r="G77" s="18"/>
      <c r="H77" s="18"/>
      <c r="I77" s="18"/>
      <c r="J77" s="18"/>
    </row>
    <row r="78" spans="2:17" ht="15.75" x14ac:dyDescent="0.25">
      <c r="B78" s="231" t="s">
        <v>67</v>
      </c>
      <c r="C78" s="232"/>
      <c r="D78" s="232"/>
      <c r="E78" s="233"/>
      <c r="F78" s="66"/>
      <c r="G78" s="66"/>
      <c r="H78" s="66"/>
      <c r="I78" s="66"/>
      <c r="J78" s="66"/>
    </row>
    <row r="79" spans="2:17" ht="14.45" customHeight="1" x14ac:dyDescent="0.25">
      <c r="B79" s="239" t="s">
        <v>68</v>
      </c>
      <c r="C79" s="240"/>
      <c r="D79" s="240"/>
      <c r="E79" s="241"/>
      <c r="F79" s="66"/>
      <c r="G79" s="66"/>
      <c r="H79" s="66"/>
      <c r="I79" s="66"/>
      <c r="J79" s="66"/>
    </row>
    <row r="80" spans="2:17" x14ac:dyDescent="0.25">
      <c r="B80" s="66"/>
      <c r="C80" s="66"/>
      <c r="D80" s="66"/>
      <c r="E80" s="66"/>
      <c r="F80" s="18"/>
      <c r="G80" s="18"/>
      <c r="H80" s="18"/>
      <c r="I80" s="18"/>
      <c r="J80" s="18"/>
      <c r="K80" s="66"/>
      <c r="L80" s="66"/>
      <c r="M80" s="66"/>
      <c r="N80" s="66"/>
      <c r="O80" s="66"/>
      <c r="P80" s="66"/>
      <c r="Q80" s="66"/>
    </row>
    <row r="81" spans="2:17" ht="16.5" x14ac:dyDescent="0.25">
      <c r="B81" s="250" t="s">
        <v>123</v>
      </c>
      <c r="C81" s="250"/>
      <c r="D81" s="250"/>
      <c r="E81" s="82">
        <f>IF(F32&lt;=D76,C76,C76+E76*(F32-D76))*VLOOKUP(F34,'DATI NTC'!H4:I102,2,FALSE)</f>
        <v>28.020545848179701</v>
      </c>
      <c r="F81" s="83" t="s">
        <v>101</v>
      </c>
      <c r="G81" s="18"/>
      <c r="H81" s="18"/>
      <c r="I81" s="18"/>
      <c r="J81" s="18"/>
      <c r="K81" s="66"/>
      <c r="L81" s="66"/>
      <c r="M81" s="66"/>
      <c r="N81" s="66"/>
      <c r="O81" s="66"/>
      <c r="P81" s="66"/>
      <c r="Q81" s="66"/>
    </row>
    <row r="82" spans="2:17" x14ac:dyDescent="0.25">
      <c r="B82" s="18"/>
      <c r="C82" s="18"/>
      <c r="D82" s="18"/>
      <c r="E82" s="18"/>
      <c r="F82" s="18"/>
      <c r="G82" s="18"/>
      <c r="H82" s="18"/>
      <c r="I82" s="18"/>
      <c r="J82" s="18"/>
      <c r="K82" s="66"/>
      <c r="L82" s="66"/>
      <c r="M82" s="66"/>
      <c r="N82" s="66"/>
      <c r="O82" s="66"/>
      <c r="P82" s="66"/>
      <c r="Q82" s="66"/>
    </row>
    <row r="83" spans="2:17" ht="15.75" x14ac:dyDescent="0.25">
      <c r="B83" s="231" t="s">
        <v>69</v>
      </c>
      <c r="C83" s="232"/>
      <c r="D83" s="232"/>
      <c r="E83" s="233"/>
      <c r="F83" s="18"/>
      <c r="G83" s="18"/>
      <c r="H83" s="18"/>
      <c r="I83" s="18"/>
      <c r="J83" s="18"/>
      <c r="K83" s="66"/>
      <c r="L83" s="66"/>
      <c r="M83" s="66"/>
      <c r="N83" s="66"/>
      <c r="O83" s="66"/>
      <c r="P83" s="66"/>
      <c r="Q83" s="66"/>
    </row>
    <row r="84" spans="2:17" ht="15.75" x14ac:dyDescent="0.25">
      <c r="B84" s="236" t="s">
        <v>70</v>
      </c>
      <c r="C84" s="237"/>
      <c r="D84" s="237"/>
      <c r="E84" s="238"/>
      <c r="F84" s="18"/>
      <c r="G84" s="18"/>
      <c r="H84" s="18"/>
      <c r="I84" s="18"/>
      <c r="J84" s="18"/>
      <c r="K84" s="66"/>
      <c r="L84" s="66"/>
      <c r="M84" s="66"/>
      <c r="N84" s="66"/>
      <c r="O84" s="66"/>
      <c r="P84" s="66"/>
      <c r="Q84" s="66"/>
    </row>
    <row r="85" spans="2:17" ht="15.75" x14ac:dyDescent="0.25">
      <c r="B85" s="236" t="s">
        <v>71</v>
      </c>
      <c r="C85" s="237"/>
      <c r="D85" s="237"/>
      <c r="E85" s="238"/>
      <c r="F85" s="18"/>
      <c r="G85" s="18"/>
      <c r="H85" s="18"/>
      <c r="I85" s="18"/>
      <c r="J85" s="18"/>
      <c r="K85" s="66"/>
      <c r="L85" s="66"/>
      <c r="M85" s="66"/>
      <c r="N85" s="66"/>
      <c r="O85" s="66"/>
      <c r="P85" s="66"/>
      <c r="Q85" s="66"/>
    </row>
    <row r="86" spans="2:17" ht="15.75" x14ac:dyDescent="0.25">
      <c r="B86" s="236" t="s">
        <v>72</v>
      </c>
      <c r="C86" s="237"/>
      <c r="D86" s="237"/>
      <c r="E86" s="238"/>
      <c r="F86" s="18"/>
      <c r="G86" s="18"/>
      <c r="H86" s="18"/>
      <c r="I86" s="18"/>
      <c r="J86" s="18"/>
      <c r="K86" s="66"/>
      <c r="L86" s="66"/>
      <c r="M86" s="66"/>
      <c r="N86" s="66"/>
      <c r="O86" s="66"/>
      <c r="P86" s="66"/>
      <c r="Q86" s="66"/>
    </row>
    <row r="87" spans="2:17" ht="15.75" x14ac:dyDescent="0.25">
      <c r="B87" s="239" t="s">
        <v>73</v>
      </c>
      <c r="C87" s="240"/>
      <c r="D87" s="240"/>
      <c r="E87" s="241"/>
      <c r="F87" s="18"/>
      <c r="G87" s="18"/>
      <c r="H87" s="18"/>
      <c r="I87" s="18"/>
      <c r="J87" s="18"/>
      <c r="K87" s="66"/>
      <c r="L87" s="66"/>
      <c r="M87" s="66"/>
      <c r="N87" s="66"/>
      <c r="O87" s="66"/>
      <c r="P87" s="66"/>
      <c r="Q87" s="66"/>
    </row>
    <row r="88" spans="2:17" x14ac:dyDescent="0.25">
      <c r="B88" s="18"/>
      <c r="C88" s="18"/>
      <c r="D88" s="18"/>
      <c r="E88" s="18"/>
      <c r="F88" s="18"/>
      <c r="G88" s="18"/>
      <c r="H88" s="18"/>
      <c r="I88" s="18"/>
      <c r="J88" s="18"/>
      <c r="K88" s="66"/>
      <c r="L88" s="66"/>
      <c r="M88" s="66"/>
      <c r="N88" s="66"/>
      <c r="O88" s="66"/>
      <c r="P88" s="66"/>
      <c r="Q88" s="66"/>
    </row>
    <row r="89" spans="2:17" ht="15.75" x14ac:dyDescent="0.25">
      <c r="B89" s="237" t="s">
        <v>75</v>
      </c>
      <c r="C89" s="237"/>
      <c r="D89" s="18" t="s">
        <v>127</v>
      </c>
      <c r="E89" s="66"/>
      <c r="F89" s="18"/>
      <c r="G89" s="18"/>
      <c r="H89" s="18"/>
      <c r="I89" s="18"/>
      <c r="J89" s="18"/>
      <c r="K89" s="66"/>
      <c r="L89" s="66"/>
      <c r="M89" s="66"/>
      <c r="N89" s="66"/>
      <c r="O89" s="66"/>
      <c r="P89" s="66"/>
      <c r="Q89" s="66"/>
    </row>
    <row r="90" spans="2:17" x14ac:dyDescent="0.25">
      <c r="B90" s="18"/>
      <c r="C90" s="18"/>
      <c r="D90" s="18"/>
      <c r="E90" s="66"/>
      <c r="F90" s="18"/>
      <c r="G90" s="18"/>
      <c r="H90" s="18"/>
      <c r="I90" s="18"/>
      <c r="J90" s="18"/>
      <c r="K90" s="66"/>
      <c r="L90" s="66"/>
      <c r="M90" s="66"/>
      <c r="N90" s="66"/>
      <c r="O90" s="66"/>
      <c r="P90" s="66"/>
      <c r="Q90" s="66"/>
    </row>
    <row r="91" spans="2:17" x14ac:dyDescent="0.25">
      <c r="B91" s="252" t="s">
        <v>104</v>
      </c>
      <c r="C91" s="252"/>
      <c r="D91" s="252"/>
      <c r="E91" s="84">
        <f>0.5*1.25*E81^2</f>
        <v>490.71936851871294</v>
      </c>
      <c r="F91" s="85" t="s">
        <v>100</v>
      </c>
      <c r="G91" s="18"/>
      <c r="H91" s="18"/>
      <c r="I91" s="18"/>
      <c r="J91" s="18"/>
      <c r="K91" s="66"/>
      <c r="L91" s="66"/>
      <c r="M91" s="66"/>
      <c r="N91" s="66"/>
      <c r="O91" s="66"/>
      <c r="P91" s="66"/>
      <c r="Q91" s="66"/>
    </row>
    <row r="92" spans="2:17" x14ac:dyDescent="0.25">
      <c r="B92" s="66"/>
      <c r="C92" s="66"/>
      <c r="D92" s="66"/>
      <c r="E92" s="66"/>
      <c r="F92" s="18"/>
      <c r="G92" s="66"/>
      <c r="H92" s="18"/>
      <c r="I92" s="18"/>
      <c r="J92" s="18"/>
      <c r="K92" s="66"/>
      <c r="L92" s="66"/>
      <c r="M92" s="66"/>
      <c r="N92" s="66"/>
      <c r="O92" s="66"/>
      <c r="P92" s="66"/>
      <c r="Q92" s="66"/>
    </row>
    <row r="93" spans="2:17" x14ac:dyDescent="0.25">
      <c r="B93" s="79" t="s">
        <v>102</v>
      </c>
      <c r="C93" s="80"/>
      <c r="D93" s="80"/>
      <c r="E93" s="80"/>
      <c r="F93" s="81"/>
      <c r="G93" s="81"/>
      <c r="H93" s="81"/>
      <c r="I93" s="18"/>
      <c r="J93" s="18"/>
      <c r="K93" s="66"/>
      <c r="L93" s="66"/>
      <c r="M93" s="66"/>
      <c r="N93" s="66"/>
      <c r="O93" s="66"/>
      <c r="P93" s="66"/>
      <c r="Q93" s="66"/>
    </row>
    <row r="94" spans="2:17" ht="15.75" thickBot="1" x14ac:dyDescent="0.3">
      <c r="B94" s="66"/>
      <c r="C94" s="66"/>
      <c r="D94" s="66"/>
      <c r="E94" s="66"/>
      <c r="F94" s="66"/>
      <c r="G94" s="18"/>
      <c r="H94" s="66"/>
      <c r="I94" s="66"/>
      <c r="J94" s="18"/>
      <c r="K94" s="86"/>
      <c r="L94" s="18"/>
      <c r="M94" s="66"/>
      <c r="N94" s="66"/>
      <c r="O94" s="66"/>
      <c r="P94" s="66"/>
      <c r="Q94" s="66"/>
    </row>
    <row r="95" spans="2:17" ht="14.45" customHeight="1" thickTop="1" thickBot="1" x14ac:dyDescent="0.3">
      <c r="B95" s="87" t="s">
        <v>105</v>
      </c>
      <c r="C95" s="87"/>
      <c r="D95" s="87"/>
      <c r="E95" s="66"/>
      <c r="G95" s="88" t="s">
        <v>107</v>
      </c>
      <c r="H95" s="178">
        <v>0.96</v>
      </c>
      <c r="I95" s="66"/>
      <c r="J95" s="89"/>
      <c r="K95" s="66"/>
      <c r="L95" s="89"/>
      <c r="M95" s="66"/>
      <c r="N95" s="66"/>
      <c r="O95" s="66"/>
      <c r="P95" s="18"/>
      <c r="Q95" s="18"/>
    </row>
    <row r="96" spans="2:17" ht="14.45" customHeight="1" thickTop="1" x14ac:dyDescent="0.25">
      <c r="B96" s="138"/>
      <c r="C96" s="138"/>
      <c r="D96" s="138"/>
      <c r="E96" s="66"/>
      <c r="F96" s="66"/>
      <c r="G96" s="90"/>
      <c r="H96" s="66"/>
      <c r="I96" s="66"/>
      <c r="J96" s="89"/>
      <c r="K96" s="66"/>
      <c r="L96" s="89"/>
      <c r="M96" s="66"/>
      <c r="N96" s="66"/>
      <c r="O96" s="66"/>
      <c r="P96" s="18"/>
      <c r="Q96" s="18"/>
    </row>
    <row r="97" spans="2:17" ht="14.45" customHeight="1" x14ac:dyDescent="0.25">
      <c r="B97" s="222" t="s">
        <v>94</v>
      </c>
      <c r="C97" s="223"/>
      <c r="D97" s="223"/>
      <c r="E97" s="223"/>
      <c r="F97" s="223"/>
      <c r="G97" s="223"/>
      <c r="H97" s="224"/>
      <c r="I97" s="66"/>
      <c r="J97" s="89"/>
      <c r="K97" s="89"/>
      <c r="L97" s="89"/>
      <c r="M97" s="66"/>
      <c r="N97" s="66"/>
      <c r="O97" s="66"/>
      <c r="P97" s="66"/>
      <c r="Q97" s="66"/>
    </row>
    <row r="98" spans="2:17" x14ac:dyDescent="0.25">
      <c r="B98" s="225"/>
      <c r="C98" s="226"/>
      <c r="D98" s="226"/>
      <c r="E98" s="226"/>
      <c r="F98" s="226"/>
      <c r="G98" s="226"/>
      <c r="H98" s="227"/>
      <c r="I98" s="66"/>
      <c r="J98" s="89"/>
      <c r="K98" s="89"/>
      <c r="L98" s="89"/>
      <c r="M98" s="66"/>
      <c r="N98" s="66"/>
      <c r="O98" s="66"/>
      <c r="P98" s="66"/>
      <c r="Q98" s="66"/>
    </row>
    <row r="99" spans="2:17" x14ac:dyDescent="0.25">
      <c r="B99" s="225"/>
      <c r="C99" s="226"/>
      <c r="D99" s="226"/>
      <c r="E99" s="226"/>
      <c r="F99" s="226"/>
      <c r="G99" s="226"/>
      <c r="H99" s="227"/>
      <c r="I99" s="66"/>
      <c r="J99" s="89"/>
      <c r="K99" s="89"/>
      <c r="L99" s="89"/>
      <c r="M99" s="66"/>
      <c r="N99" s="66"/>
      <c r="O99" s="66"/>
      <c r="P99" s="66"/>
      <c r="Q99" s="66"/>
    </row>
    <row r="100" spans="2:17" x14ac:dyDescent="0.25">
      <c r="B100" s="228"/>
      <c r="C100" s="229"/>
      <c r="D100" s="229"/>
      <c r="E100" s="229"/>
      <c r="F100" s="229"/>
      <c r="G100" s="229"/>
      <c r="H100" s="230"/>
      <c r="I100" s="66"/>
      <c r="J100" s="89"/>
      <c r="K100" s="89"/>
      <c r="L100" s="89"/>
      <c r="M100" s="66"/>
      <c r="N100" s="66"/>
      <c r="O100" s="66"/>
      <c r="P100" s="66"/>
      <c r="Q100" s="66"/>
    </row>
    <row r="101" spans="2:17" x14ac:dyDescent="0.25">
      <c r="B101" s="91"/>
      <c r="C101" s="91"/>
      <c r="D101" s="91"/>
      <c r="E101" s="91"/>
      <c r="F101" s="91"/>
      <c r="G101" s="91"/>
      <c r="H101" s="66"/>
      <c r="I101" s="66"/>
      <c r="J101" s="89"/>
      <c r="K101" s="89"/>
      <c r="L101" s="89"/>
      <c r="M101" s="66"/>
      <c r="N101" s="66"/>
      <c r="O101" s="66"/>
      <c r="P101" s="66"/>
      <c r="Q101" s="66"/>
    </row>
    <row r="102" spans="2:17" x14ac:dyDescent="0.25">
      <c r="B102" s="142"/>
      <c r="C102" s="142"/>
      <c r="D102" s="142"/>
      <c r="E102" s="142"/>
      <c r="F102" s="142"/>
      <c r="G102" s="142"/>
      <c r="H102" s="66"/>
      <c r="I102" s="66"/>
      <c r="J102" s="89"/>
      <c r="K102" s="89"/>
      <c r="L102" s="89"/>
      <c r="M102" s="66"/>
      <c r="N102" s="66"/>
      <c r="O102" s="66"/>
      <c r="P102" s="66"/>
      <c r="Q102" s="66"/>
    </row>
    <row r="103" spans="2:17" x14ac:dyDescent="0.25">
      <c r="B103" s="142"/>
      <c r="C103" s="142"/>
      <c r="D103" s="142"/>
      <c r="E103" s="142"/>
      <c r="F103" s="142"/>
      <c r="G103" s="142"/>
      <c r="H103" s="66"/>
      <c r="I103" s="66"/>
      <c r="J103" s="89"/>
      <c r="K103" s="89"/>
      <c r="L103" s="89"/>
      <c r="M103" s="66"/>
      <c r="N103" s="66"/>
      <c r="O103" s="66"/>
      <c r="P103" s="66"/>
      <c r="Q103" s="66"/>
    </row>
    <row r="104" spans="2:17" x14ac:dyDescent="0.25">
      <c r="B104" s="142"/>
      <c r="C104" s="142"/>
      <c r="D104" s="142"/>
      <c r="E104" s="142"/>
      <c r="F104" s="142"/>
      <c r="G104" s="142"/>
      <c r="H104" s="66"/>
      <c r="I104" s="66"/>
      <c r="J104" s="89"/>
      <c r="K104" s="89"/>
      <c r="L104" s="89"/>
      <c r="M104" s="66"/>
      <c r="N104" s="66"/>
      <c r="O104" s="66"/>
      <c r="P104" s="66"/>
      <c r="Q104" s="66"/>
    </row>
    <row r="105" spans="2:17" x14ac:dyDescent="0.25">
      <c r="B105" s="142"/>
      <c r="C105" s="142"/>
      <c r="D105" s="142"/>
      <c r="E105" s="142"/>
      <c r="F105" s="142"/>
      <c r="G105" s="142"/>
      <c r="H105" s="66"/>
      <c r="I105" s="66"/>
      <c r="J105" s="89"/>
      <c r="K105" s="89"/>
      <c r="L105" s="89"/>
      <c r="M105" s="66"/>
      <c r="N105" s="66"/>
      <c r="O105" s="66"/>
      <c r="P105" s="66"/>
      <c r="Q105" s="66"/>
    </row>
    <row r="106" spans="2:17" x14ac:dyDescent="0.25">
      <c r="B106" s="142"/>
      <c r="C106" s="142"/>
      <c r="D106" s="142"/>
      <c r="E106" s="142"/>
      <c r="F106" s="142"/>
      <c r="G106" s="142"/>
      <c r="H106" s="66"/>
      <c r="I106" s="66"/>
      <c r="J106" s="89"/>
      <c r="K106" s="89"/>
      <c r="L106" s="89"/>
      <c r="M106" s="66"/>
      <c r="N106" s="66"/>
      <c r="O106" s="66"/>
      <c r="P106" s="66"/>
      <c r="Q106" s="66"/>
    </row>
    <row r="107" spans="2:17" x14ac:dyDescent="0.25">
      <c r="B107" s="142"/>
      <c r="C107" s="142"/>
      <c r="D107" s="142"/>
      <c r="E107" s="142"/>
      <c r="F107" s="142"/>
      <c r="G107" s="142"/>
      <c r="H107" s="66"/>
      <c r="I107" s="66"/>
      <c r="J107" s="89"/>
      <c r="K107" s="89"/>
      <c r="L107" s="89"/>
      <c r="M107" s="66"/>
      <c r="N107" s="66"/>
      <c r="O107" s="66"/>
      <c r="P107" s="66"/>
      <c r="Q107" s="66"/>
    </row>
    <row r="108" spans="2:17" x14ac:dyDescent="0.25">
      <c r="B108" s="142"/>
      <c r="C108" s="142"/>
      <c r="D108" s="142"/>
      <c r="E108" s="142"/>
      <c r="F108" s="142"/>
      <c r="G108" s="142"/>
      <c r="H108" s="66"/>
      <c r="I108" s="66"/>
      <c r="J108" s="89"/>
      <c r="K108" s="89"/>
      <c r="L108" s="89"/>
      <c r="M108" s="66"/>
      <c r="N108" s="66"/>
      <c r="O108" s="66"/>
      <c r="P108" s="66"/>
      <c r="Q108" s="66"/>
    </row>
    <row r="109" spans="2:17" x14ac:dyDescent="0.25">
      <c r="B109" s="142"/>
      <c r="C109" s="142"/>
      <c r="D109" s="142"/>
      <c r="E109" s="142"/>
      <c r="F109" s="142"/>
      <c r="G109" s="142"/>
      <c r="H109" s="66"/>
      <c r="I109" s="66"/>
      <c r="J109" s="89"/>
      <c r="K109" s="89"/>
      <c r="L109" s="89"/>
      <c r="M109" s="66"/>
      <c r="N109" s="66"/>
      <c r="O109" s="66"/>
      <c r="P109" s="66"/>
      <c r="Q109" s="66"/>
    </row>
    <row r="110" spans="2:17" x14ac:dyDescent="0.25">
      <c r="B110" s="142"/>
      <c r="C110" s="142"/>
      <c r="D110" s="142"/>
      <c r="E110" s="142"/>
      <c r="F110" s="142"/>
      <c r="G110" s="142"/>
      <c r="H110" s="66"/>
      <c r="I110" s="66"/>
      <c r="J110" s="89"/>
      <c r="K110" s="89"/>
      <c r="L110" s="89"/>
      <c r="M110" s="66"/>
      <c r="N110" s="66"/>
      <c r="O110" s="66"/>
      <c r="P110" s="66"/>
      <c r="Q110" s="66"/>
    </row>
    <row r="111" spans="2:17" x14ac:dyDescent="0.25">
      <c r="B111" s="142"/>
      <c r="C111" s="142"/>
      <c r="D111" s="142"/>
      <c r="E111" s="142"/>
      <c r="F111" s="142"/>
      <c r="G111" s="142"/>
      <c r="H111" s="66"/>
      <c r="I111" s="66"/>
      <c r="J111" s="89"/>
      <c r="K111" s="89"/>
      <c r="L111" s="89"/>
      <c r="M111" s="66"/>
      <c r="N111" s="66"/>
      <c r="O111" s="66"/>
      <c r="P111" s="66"/>
      <c r="Q111" s="66"/>
    </row>
    <row r="112" spans="2:17" x14ac:dyDescent="0.25">
      <c r="B112" s="142"/>
      <c r="C112" s="142"/>
      <c r="D112" s="142"/>
      <c r="E112" s="142"/>
      <c r="F112" s="142"/>
      <c r="G112" s="142"/>
      <c r="H112" s="66"/>
      <c r="I112" s="66"/>
      <c r="J112" s="89"/>
      <c r="K112" s="89"/>
      <c r="L112" s="89"/>
      <c r="M112" s="66"/>
      <c r="N112" s="66"/>
      <c r="O112" s="66"/>
      <c r="P112" s="66"/>
      <c r="Q112" s="66"/>
    </row>
    <row r="113" spans="2:17" x14ac:dyDescent="0.25">
      <c r="B113" s="142"/>
      <c r="C113" s="142"/>
      <c r="D113" s="142"/>
      <c r="E113" s="142"/>
      <c r="F113" s="142"/>
      <c r="G113" s="142"/>
      <c r="H113" s="66"/>
      <c r="I113" s="66"/>
      <c r="J113" s="89"/>
      <c r="K113" s="89"/>
      <c r="L113" s="89"/>
      <c r="M113" s="66"/>
      <c r="N113" s="66"/>
      <c r="O113" s="66"/>
      <c r="P113" s="66"/>
      <c r="Q113" s="66"/>
    </row>
    <row r="114" spans="2:17" x14ac:dyDescent="0.25">
      <c r="B114" s="91"/>
      <c r="C114" s="91"/>
      <c r="D114" s="91"/>
      <c r="E114" s="91"/>
      <c r="F114" s="91"/>
      <c r="G114" s="90"/>
      <c r="H114" s="66"/>
      <c r="I114" s="66"/>
      <c r="J114" s="89"/>
      <c r="K114" s="89"/>
      <c r="L114" s="89"/>
      <c r="M114" s="66"/>
      <c r="N114" s="66"/>
      <c r="O114" s="66"/>
      <c r="P114" s="66"/>
      <c r="Q114" s="66"/>
    </row>
    <row r="115" spans="2:17" x14ac:dyDescent="0.25">
      <c r="B115" s="91"/>
      <c r="C115" s="91"/>
      <c r="D115" s="91"/>
      <c r="E115" s="91"/>
      <c r="F115" s="91"/>
      <c r="G115" s="90"/>
      <c r="H115" s="66"/>
      <c r="I115" s="66"/>
      <c r="J115" s="89"/>
      <c r="K115" s="89"/>
      <c r="L115" s="89"/>
      <c r="M115" s="66"/>
      <c r="N115" s="66"/>
      <c r="O115" s="66"/>
      <c r="P115" s="66"/>
      <c r="Q115" s="66"/>
    </row>
    <row r="116" spans="2:17" x14ac:dyDescent="0.25">
      <c r="B116" s="91"/>
      <c r="C116" s="91"/>
      <c r="D116" s="91"/>
      <c r="E116" s="91"/>
      <c r="F116" s="91"/>
      <c r="G116" s="90"/>
      <c r="H116" s="66"/>
      <c r="I116" s="66"/>
      <c r="J116" s="89"/>
      <c r="K116" s="89"/>
      <c r="L116" s="89"/>
      <c r="M116" s="66"/>
      <c r="N116" s="66"/>
      <c r="O116" s="66"/>
      <c r="P116" s="66"/>
      <c r="Q116" s="66"/>
    </row>
    <row r="117" spans="2:17" x14ac:dyDescent="0.25">
      <c r="B117" s="91"/>
      <c r="C117" s="91"/>
      <c r="D117" s="91"/>
      <c r="E117" s="91"/>
      <c r="F117" s="91"/>
      <c r="G117" s="90"/>
      <c r="H117" s="66"/>
      <c r="I117" s="66"/>
      <c r="J117" s="89"/>
      <c r="K117" s="89"/>
      <c r="L117" s="89"/>
      <c r="M117" s="66"/>
      <c r="N117" s="66"/>
      <c r="O117" s="66"/>
      <c r="P117" s="66"/>
      <c r="Q117" s="66"/>
    </row>
    <row r="118" spans="2:17" x14ac:dyDescent="0.25">
      <c r="B118" s="91"/>
      <c r="C118" s="91"/>
      <c r="D118" s="91"/>
      <c r="E118" s="91"/>
      <c r="F118" s="91"/>
      <c r="G118" s="90"/>
      <c r="H118" s="66"/>
      <c r="I118" s="66"/>
      <c r="J118" s="89"/>
      <c r="K118" s="89"/>
      <c r="L118" s="89"/>
      <c r="M118" s="66"/>
      <c r="N118" s="66"/>
      <c r="O118" s="66"/>
      <c r="P118" s="66"/>
      <c r="Q118" s="66"/>
    </row>
    <row r="119" spans="2:17" x14ac:dyDescent="0.25">
      <c r="B119" s="91"/>
      <c r="C119" s="91"/>
      <c r="D119" s="91"/>
      <c r="E119" s="91"/>
      <c r="F119" s="91"/>
      <c r="G119" s="90"/>
      <c r="H119" s="66"/>
      <c r="I119" s="66"/>
      <c r="J119" s="89"/>
      <c r="K119" s="89"/>
      <c r="L119" s="89"/>
      <c r="M119" s="66"/>
      <c r="N119" s="66"/>
      <c r="O119" s="66"/>
      <c r="P119" s="66"/>
      <c r="Q119" s="66"/>
    </row>
    <row r="120" spans="2:17" x14ac:dyDescent="0.25">
      <c r="B120" s="91"/>
      <c r="C120" s="91"/>
      <c r="D120" s="91"/>
      <c r="E120" s="91"/>
      <c r="F120" s="91"/>
      <c r="G120" s="90"/>
      <c r="H120" s="66"/>
      <c r="I120" s="66"/>
      <c r="J120" s="89"/>
      <c r="K120" s="89"/>
      <c r="L120" s="89"/>
      <c r="M120" s="66"/>
      <c r="N120" s="66"/>
      <c r="O120" s="66"/>
      <c r="P120" s="66"/>
      <c r="Q120" s="66"/>
    </row>
    <row r="121" spans="2:17" x14ac:dyDescent="0.25">
      <c r="B121" s="91"/>
      <c r="C121" s="91"/>
      <c r="D121" s="91"/>
      <c r="E121" s="91"/>
      <c r="F121" s="91"/>
      <c r="G121" s="90"/>
      <c r="H121" s="66"/>
      <c r="I121" s="66"/>
      <c r="J121" s="89"/>
      <c r="K121" s="89"/>
      <c r="L121" s="89"/>
      <c r="M121" s="66"/>
      <c r="N121" s="66"/>
      <c r="O121" s="66"/>
      <c r="P121" s="66"/>
      <c r="Q121" s="66"/>
    </row>
    <row r="122" spans="2:17" x14ac:dyDescent="0.25">
      <c r="B122" s="91"/>
      <c r="C122" s="91"/>
      <c r="D122" s="91"/>
      <c r="E122" s="91"/>
      <c r="F122" s="91"/>
      <c r="G122" s="90"/>
      <c r="H122" s="66"/>
      <c r="I122" s="66"/>
      <c r="J122" s="66"/>
      <c r="K122" s="66"/>
      <c r="L122" s="89"/>
      <c r="M122" s="66"/>
      <c r="N122" s="66"/>
      <c r="O122" s="66"/>
      <c r="P122" s="66"/>
      <c r="Q122" s="66"/>
    </row>
    <row r="123" spans="2:17" x14ac:dyDescent="0.25">
      <c r="B123" s="91"/>
      <c r="C123" s="91"/>
      <c r="D123" s="91"/>
      <c r="E123" s="91"/>
      <c r="F123" s="91"/>
      <c r="G123" s="90"/>
      <c r="H123" s="66"/>
      <c r="I123" s="66"/>
      <c r="J123" s="89"/>
      <c r="K123" s="89"/>
      <c r="L123" s="89"/>
      <c r="M123" s="66"/>
      <c r="N123" s="66"/>
      <c r="O123" s="66"/>
      <c r="P123" s="66"/>
      <c r="Q123" s="66"/>
    </row>
    <row r="124" spans="2:17" x14ac:dyDescent="0.25">
      <c r="B124" s="91"/>
      <c r="C124" s="91"/>
      <c r="D124" s="91"/>
      <c r="E124" s="91"/>
      <c r="F124" s="91"/>
      <c r="G124" s="90"/>
      <c r="H124" s="66"/>
      <c r="I124" s="66"/>
      <c r="J124" s="89"/>
      <c r="K124" s="89"/>
      <c r="L124" s="89"/>
      <c r="M124" s="66"/>
      <c r="N124" s="66"/>
      <c r="O124" s="66"/>
      <c r="P124" s="66"/>
      <c r="Q124" s="66"/>
    </row>
    <row r="125" spans="2:17" x14ac:dyDescent="0.25">
      <c r="B125" s="91"/>
      <c r="C125" s="91"/>
      <c r="D125" s="91"/>
      <c r="E125" s="91"/>
      <c r="F125" s="91"/>
      <c r="G125" s="90"/>
      <c r="H125" s="66"/>
      <c r="I125" s="66"/>
      <c r="J125" s="89"/>
      <c r="K125" s="89"/>
      <c r="L125" s="89"/>
      <c r="M125" s="66"/>
      <c r="N125" s="66"/>
      <c r="O125" s="66"/>
      <c r="P125" s="66"/>
      <c r="Q125" s="66"/>
    </row>
    <row r="126" spans="2:17" x14ac:dyDescent="0.25">
      <c r="B126" s="91"/>
      <c r="C126" s="91"/>
      <c r="D126" s="91"/>
      <c r="E126" s="91"/>
      <c r="F126" s="91"/>
      <c r="G126" s="90"/>
      <c r="H126" s="66"/>
      <c r="I126" s="66"/>
      <c r="J126" s="89"/>
      <c r="K126" s="89"/>
      <c r="L126" s="89"/>
      <c r="M126" s="66"/>
      <c r="N126" s="66"/>
      <c r="O126" s="66"/>
      <c r="P126" s="66"/>
      <c r="Q126" s="66"/>
    </row>
    <row r="127" spans="2:17" x14ac:dyDescent="0.25">
      <c r="B127" s="91"/>
      <c r="C127" s="91"/>
      <c r="D127" s="91"/>
      <c r="E127" s="91"/>
      <c r="F127" s="91"/>
      <c r="G127" s="90"/>
      <c r="H127" s="66"/>
      <c r="I127" s="66"/>
      <c r="J127" s="89"/>
      <c r="K127" s="89"/>
      <c r="L127" s="89"/>
      <c r="M127" s="66"/>
      <c r="N127" s="66"/>
      <c r="O127" s="66"/>
      <c r="P127" s="66"/>
      <c r="Q127" s="66"/>
    </row>
    <row r="128" spans="2:17" x14ac:dyDescent="0.25">
      <c r="B128" s="91"/>
      <c r="C128" s="91"/>
      <c r="D128" s="91"/>
      <c r="E128" s="91"/>
      <c r="F128" s="91"/>
      <c r="G128" s="90"/>
      <c r="H128" s="66"/>
      <c r="I128" s="66"/>
      <c r="J128" s="89"/>
      <c r="K128" s="89"/>
      <c r="L128" s="89"/>
      <c r="M128" s="66"/>
      <c r="N128" s="66"/>
      <c r="O128" s="66"/>
      <c r="P128" s="66"/>
      <c r="Q128" s="66"/>
    </row>
    <row r="129" spans="2:17" x14ac:dyDescent="0.25">
      <c r="B129" s="91"/>
      <c r="C129" s="91"/>
      <c r="D129" s="91"/>
      <c r="E129" s="91"/>
      <c r="F129" s="91"/>
      <c r="G129" s="90"/>
      <c r="H129" s="66"/>
      <c r="I129" s="66"/>
      <c r="J129" s="89"/>
      <c r="K129" s="89"/>
      <c r="L129" s="89"/>
      <c r="M129" s="66"/>
      <c r="N129" s="66"/>
      <c r="O129" s="66"/>
      <c r="P129" s="66"/>
      <c r="Q129" s="66"/>
    </row>
    <row r="130" spans="2:17" x14ac:dyDescent="0.25">
      <c r="B130" s="91"/>
      <c r="C130" s="91"/>
      <c r="D130" s="91"/>
      <c r="E130" s="91"/>
      <c r="F130" s="91"/>
      <c r="G130" s="90"/>
      <c r="H130" s="66"/>
      <c r="I130" s="66"/>
      <c r="J130" s="89"/>
      <c r="K130" s="89"/>
      <c r="L130" s="89"/>
      <c r="M130" s="66"/>
      <c r="N130" s="66"/>
      <c r="O130" s="66"/>
      <c r="P130" s="66"/>
      <c r="Q130" s="66"/>
    </row>
    <row r="131" spans="2:17" ht="14.45" customHeight="1" x14ac:dyDescent="0.25">
      <c r="B131" s="91"/>
      <c r="C131" s="91"/>
      <c r="D131" s="66"/>
      <c r="E131" s="66"/>
      <c r="F131" s="91"/>
      <c r="G131" s="18"/>
      <c r="H131" s="18"/>
      <c r="I131" s="18"/>
      <c r="J131" s="18"/>
      <c r="K131" s="66"/>
      <c r="L131" s="66"/>
      <c r="M131" s="66"/>
      <c r="N131" s="66"/>
      <c r="O131" s="66"/>
      <c r="P131" s="66"/>
      <c r="Q131" s="66"/>
    </row>
    <row r="132" spans="2:17" x14ac:dyDescent="0.25">
      <c r="B132" s="215" t="s">
        <v>106</v>
      </c>
      <c r="C132" s="215"/>
      <c r="D132" s="215"/>
      <c r="E132" s="142"/>
      <c r="F132" s="142"/>
      <c r="G132" s="18"/>
      <c r="H132" s="18"/>
      <c r="I132" s="18"/>
      <c r="J132" s="18"/>
      <c r="K132" s="66"/>
      <c r="L132" s="66"/>
      <c r="M132" s="66"/>
      <c r="N132" s="66"/>
      <c r="O132" s="66"/>
      <c r="P132" s="66"/>
      <c r="Q132" s="66"/>
    </row>
    <row r="133" spans="2:17" ht="15" customHeight="1" x14ac:dyDescent="0.25">
      <c r="B133" s="222" t="s">
        <v>145</v>
      </c>
      <c r="C133" s="223"/>
      <c r="D133" s="223"/>
      <c r="E133" s="223"/>
      <c r="F133" s="223"/>
      <c r="G133" s="223"/>
      <c r="H133" s="224"/>
      <c r="I133" s="18"/>
      <c r="J133" s="18"/>
      <c r="K133" s="66"/>
      <c r="L133" s="66"/>
      <c r="M133" s="66"/>
      <c r="N133" s="66"/>
      <c r="O133" s="66"/>
      <c r="P133" s="66"/>
      <c r="Q133" s="66"/>
    </row>
    <row r="134" spans="2:17" ht="14.45" customHeight="1" x14ac:dyDescent="0.25">
      <c r="B134" s="225"/>
      <c r="C134" s="226"/>
      <c r="D134" s="226"/>
      <c r="E134" s="226"/>
      <c r="F134" s="226"/>
      <c r="G134" s="226"/>
      <c r="H134" s="227"/>
      <c r="I134" s="18"/>
      <c r="J134" s="18"/>
      <c r="K134" s="66"/>
      <c r="L134" s="66"/>
      <c r="M134" s="66"/>
      <c r="N134" s="66"/>
      <c r="O134" s="66"/>
      <c r="P134" s="66"/>
      <c r="Q134" s="66"/>
    </row>
    <row r="135" spans="2:17" x14ac:dyDescent="0.25">
      <c r="B135" s="228"/>
      <c r="C135" s="229"/>
      <c r="D135" s="229"/>
      <c r="E135" s="229"/>
      <c r="F135" s="229"/>
      <c r="G135" s="229"/>
      <c r="H135" s="230"/>
      <c r="I135" s="66"/>
      <c r="J135" s="66"/>
      <c r="K135" s="66"/>
      <c r="L135" s="66"/>
      <c r="M135" s="66"/>
      <c r="N135" s="66"/>
      <c r="O135" s="66"/>
      <c r="P135" s="66"/>
      <c r="Q135" s="66"/>
    </row>
    <row r="136" spans="2:17" x14ac:dyDescent="0.25">
      <c r="B136" s="140"/>
      <c r="C136" s="140"/>
      <c r="D136" s="140"/>
      <c r="E136" s="140"/>
      <c r="F136" s="140"/>
      <c r="G136" s="140"/>
      <c r="H136" s="66"/>
      <c r="I136" s="66"/>
      <c r="J136" s="66"/>
      <c r="K136" s="66"/>
      <c r="L136" s="66"/>
      <c r="M136" s="66"/>
      <c r="N136" s="66"/>
      <c r="O136" s="66"/>
      <c r="P136" s="66"/>
      <c r="Q136" s="66"/>
    </row>
    <row r="137" spans="2:17" x14ac:dyDescent="0.25">
      <c r="B137" s="242">
        <v>1</v>
      </c>
      <c r="C137" s="242"/>
      <c r="D137" s="242">
        <v>2</v>
      </c>
      <c r="E137" s="242"/>
      <c r="F137" s="242">
        <v>3</v>
      </c>
      <c r="G137" s="242"/>
      <c r="H137" s="66"/>
      <c r="I137" s="66"/>
      <c r="J137" s="66"/>
      <c r="K137" s="66"/>
      <c r="L137" s="66"/>
      <c r="M137" s="66"/>
      <c r="N137" s="66"/>
      <c r="O137" s="66"/>
      <c r="P137" s="66"/>
      <c r="Q137" s="66"/>
    </row>
    <row r="138" spans="2:17" ht="14.45" customHeight="1" x14ac:dyDescent="0.25">
      <c r="B138" s="92"/>
      <c r="C138" s="92"/>
      <c r="D138" s="92"/>
      <c r="E138" s="92"/>
      <c r="F138" s="92"/>
      <c r="G138" s="92"/>
      <c r="H138" s="66"/>
      <c r="I138" s="66"/>
      <c r="J138" s="66"/>
      <c r="K138" s="66"/>
      <c r="L138" s="66"/>
      <c r="M138" s="66"/>
      <c r="N138" s="66"/>
      <c r="O138" s="66"/>
      <c r="P138" s="66"/>
      <c r="Q138" s="66"/>
    </row>
    <row r="139" spans="2:17" ht="14.45" customHeight="1" x14ac:dyDescent="0.25">
      <c r="B139" s="93"/>
      <c r="C139" s="93"/>
      <c r="D139" s="93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</row>
    <row r="140" spans="2:17" x14ac:dyDescent="0.25"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</row>
    <row r="141" spans="2:17" x14ac:dyDescent="0.25"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</row>
    <row r="142" spans="2:17" x14ac:dyDescent="0.25"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</row>
    <row r="143" spans="2:17" x14ac:dyDescent="0.25"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</row>
    <row r="144" spans="2:17" x14ac:dyDescent="0.25"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</row>
    <row r="145" spans="2:17" x14ac:dyDescent="0.25"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</row>
    <row r="146" spans="2:17" x14ac:dyDescent="0.25"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</row>
    <row r="147" spans="2:17" x14ac:dyDescent="0.25"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</row>
    <row r="148" spans="2:17" x14ac:dyDescent="0.25"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</row>
    <row r="149" spans="2:17" x14ac:dyDescent="0.25"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</row>
    <row r="150" spans="2:17" x14ac:dyDescent="0.25"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</row>
    <row r="151" spans="2:17" ht="15.75" thickBot="1" x14ac:dyDescent="0.3"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</row>
    <row r="152" spans="2:17" ht="16.5" thickTop="1" thickBot="1" x14ac:dyDescent="0.3">
      <c r="B152" s="215" t="s">
        <v>160</v>
      </c>
      <c r="C152" s="216"/>
      <c r="D152" s="212" t="s">
        <v>114</v>
      </c>
      <c r="E152" s="213"/>
      <c r="F152" s="213"/>
      <c r="G152" s="214"/>
      <c r="H152" s="66"/>
      <c r="I152" s="66"/>
      <c r="J152" s="66"/>
      <c r="K152" s="66"/>
      <c r="L152" s="66"/>
      <c r="M152" s="66"/>
      <c r="N152" s="66"/>
      <c r="O152" s="66"/>
      <c r="P152" s="66"/>
      <c r="Q152" s="66"/>
    </row>
    <row r="153" spans="2:17" ht="15.75" thickTop="1" x14ac:dyDescent="0.25">
      <c r="B153" s="66"/>
      <c r="C153" s="134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</row>
    <row r="154" spans="2:17" x14ac:dyDescent="0.25">
      <c r="B154" s="87" t="s">
        <v>159</v>
      </c>
      <c r="C154" s="135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</row>
    <row r="155" spans="2:17" ht="15.75" thickBot="1" x14ac:dyDescent="0.3">
      <c r="B155" s="87"/>
      <c r="C155" s="13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</row>
    <row r="156" spans="2:17" ht="16.5" thickTop="1" thickBot="1" x14ac:dyDescent="0.3">
      <c r="B156" s="94" t="s">
        <v>108</v>
      </c>
      <c r="C156" s="179">
        <v>80</v>
      </c>
      <c r="D156" s="66" t="s">
        <v>95</v>
      </c>
      <c r="E156" s="95" t="s">
        <v>109</v>
      </c>
      <c r="F156" s="96">
        <f>IF('dati nascosti'!C40&lt;=0.75,0.5,IF('dati nascosti'!C40&lt;=2,0.8-0.4*'dati nascosti'!C40,0))</f>
        <v>0.5</v>
      </c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</row>
    <row r="157" spans="2:17" ht="16.5" thickTop="1" thickBot="1" x14ac:dyDescent="0.3">
      <c r="B157" s="94" t="s">
        <v>57</v>
      </c>
      <c r="C157" s="179">
        <v>5</v>
      </c>
      <c r="D157" s="66" t="s">
        <v>95</v>
      </c>
      <c r="E157" s="95" t="s">
        <v>110</v>
      </c>
      <c r="F157" s="96">
        <f>IF('dati nascosti'!D40&lt;=0.1,0,IF('dati nascosti'!D40&lt;=0.3,5*('dati nascosti'!D40-0.1),1))</f>
        <v>1</v>
      </c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</row>
    <row r="158" spans="2:17" ht="16.5" thickTop="1" thickBot="1" x14ac:dyDescent="0.3">
      <c r="B158" s="94" t="s">
        <v>111</v>
      </c>
      <c r="C158" s="179">
        <v>10</v>
      </c>
      <c r="D158" s="66" t="s">
        <v>95</v>
      </c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</row>
    <row r="159" spans="2:17" ht="16.5" thickTop="1" thickBot="1" x14ac:dyDescent="0.3">
      <c r="B159" s="94" t="s">
        <v>112</v>
      </c>
      <c r="C159" s="179">
        <v>0</v>
      </c>
      <c r="D159" s="66" t="s">
        <v>95</v>
      </c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</row>
    <row r="160" spans="2:17" ht="15.75" thickTop="1" x14ac:dyDescent="0.25"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</row>
    <row r="161" spans="2:17" x14ac:dyDescent="0.25">
      <c r="B161" s="271" t="s">
        <v>144</v>
      </c>
      <c r="C161" s="271"/>
      <c r="D161" s="272"/>
      <c r="E161" s="88" t="s">
        <v>113</v>
      </c>
      <c r="F161" s="97">
        <v>1</v>
      </c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</row>
    <row r="162" spans="2:17" x14ac:dyDescent="0.25"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</row>
    <row r="163" spans="2:17" x14ac:dyDescent="0.25">
      <c r="B163" s="215" t="s">
        <v>125</v>
      </c>
      <c r="C163" s="215"/>
      <c r="D163" s="215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</row>
    <row r="164" spans="2:17" ht="14.45" customHeight="1" x14ac:dyDescent="0.25">
      <c r="B164" s="251" t="s">
        <v>118</v>
      </c>
      <c r="C164" s="251"/>
      <c r="D164" s="251"/>
      <c r="E164" s="251"/>
      <c r="F164" s="251"/>
      <c r="G164" s="251"/>
      <c r="H164" s="251"/>
      <c r="I164" s="66"/>
      <c r="J164" s="66"/>
      <c r="K164" s="66"/>
      <c r="L164" s="66"/>
      <c r="M164" s="66"/>
      <c r="N164" s="66"/>
      <c r="O164" s="66"/>
      <c r="P164" s="66"/>
      <c r="Q164" s="66"/>
    </row>
    <row r="165" spans="2:17" x14ac:dyDescent="0.25">
      <c r="B165" s="251"/>
      <c r="C165" s="251"/>
      <c r="D165" s="251"/>
      <c r="E165" s="251"/>
      <c r="F165" s="251"/>
      <c r="G165" s="251"/>
      <c r="H165" s="251"/>
      <c r="I165" s="66"/>
      <c r="J165" s="66"/>
      <c r="K165" s="66"/>
      <c r="L165" s="66"/>
      <c r="M165" s="66"/>
      <c r="N165" s="66"/>
      <c r="O165" s="66"/>
      <c r="P165" s="66"/>
      <c r="Q165" s="66"/>
    </row>
    <row r="166" spans="2:17" x14ac:dyDescent="0.25">
      <c r="B166" s="251"/>
      <c r="C166" s="251"/>
      <c r="D166" s="251"/>
      <c r="E166" s="251"/>
      <c r="F166" s="251"/>
      <c r="G166" s="251"/>
      <c r="H166" s="251"/>
      <c r="I166" s="66"/>
      <c r="J166" s="66"/>
      <c r="K166" s="66"/>
      <c r="L166" s="66"/>
      <c r="M166" s="66"/>
      <c r="N166" s="66"/>
      <c r="O166" s="66"/>
      <c r="P166" s="66"/>
      <c r="Q166" s="66"/>
    </row>
    <row r="167" spans="2:17" x14ac:dyDescent="0.25">
      <c r="B167" s="251"/>
      <c r="C167" s="251"/>
      <c r="D167" s="251"/>
      <c r="E167" s="251"/>
      <c r="F167" s="251"/>
      <c r="G167" s="251"/>
      <c r="H167" s="251"/>
      <c r="I167" s="66"/>
      <c r="J167" s="70"/>
      <c r="K167" s="70"/>
      <c r="L167" s="66"/>
      <c r="M167" s="66"/>
      <c r="N167" s="66"/>
      <c r="O167" s="66"/>
      <c r="P167" s="66"/>
      <c r="Q167" s="66"/>
    </row>
    <row r="168" spans="2:17" x14ac:dyDescent="0.25">
      <c r="B168" s="98"/>
      <c r="C168" s="98"/>
      <c r="D168" s="98"/>
      <c r="E168" s="98"/>
      <c r="F168" s="98"/>
      <c r="G168" s="98"/>
      <c r="H168" s="66"/>
      <c r="I168" s="66"/>
      <c r="J168" s="70"/>
      <c r="K168" s="70"/>
      <c r="L168" s="66"/>
      <c r="M168" s="66"/>
      <c r="N168" s="66"/>
      <c r="O168" s="66"/>
      <c r="P168" s="66"/>
      <c r="Q168" s="66"/>
    </row>
    <row r="169" spans="2:17" ht="15.75" x14ac:dyDescent="0.25">
      <c r="B169" s="231" t="s">
        <v>77</v>
      </c>
      <c r="C169" s="232"/>
      <c r="D169" s="232"/>
      <c r="E169" s="233"/>
      <c r="F169" s="98"/>
      <c r="G169" s="98"/>
      <c r="H169" s="66"/>
      <c r="I169" s="66"/>
      <c r="J169" s="70"/>
      <c r="K169" s="70"/>
      <c r="L169" s="66"/>
      <c r="M169" s="66"/>
      <c r="N169" s="66"/>
      <c r="O169" s="66"/>
      <c r="P169" s="66"/>
      <c r="Q169" s="66"/>
    </row>
    <row r="170" spans="2:17" ht="15.75" x14ac:dyDescent="0.25">
      <c r="B170" s="239" t="s">
        <v>78</v>
      </c>
      <c r="C170" s="240"/>
      <c r="D170" s="240"/>
      <c r="E170" s="241"/>
      <c r="F170" s="98"/>
      <c r="G170" s="98"/>
      <c r="H170" s="66"/>
      <c r="I170" s="66"/>
      <c r="J170" s="139"/>
      <c r="K170" s="70"/>
      <c r="L170" s="66"/>
      <c r="M170" s="66"/>
      <c r="N170" s="66"/>
      <c r="O170" s="66"/>
      <c r="P170" s="66"/>
      <c r="Q170" s="66"/>
    </row>
    <row r="171" spans="2:17" x14ac:dyDescent="0.25">
      <c r="B171" s="66"/>
      <c r="C171" s="66"/>
      <c r="D171" s="66"/>
      <c r="E171" s="66"/>
      <c r="F171" s="66"/>
      <c r="G171" s="66"/>
      <c r="H171" s="66"/>
      <c r="I171" s="66"/>
      <c r="J171" s="139"/>
      <c r="K171" s="70"/>
      <c r="L171" s="66"/>
      <c r="M171" s="66"/>
      <c r="N171" s="66"/>
      <c r="O171" s="66"/>
      <c r="P171" s="66"/>
      <c r="Q171" s="66"/>
    </row>
    <row r="172" spans="2:17" ht="15.75" x14ac:dyDescent="0.25">
      <c r="B172" s="143" t="s">
        <v>59</v>
      </c>
      <c r="C172" s="143" t="s">
        <v>60</v>
      </c>
      <c r="D172" s="143" t="s">
        <v>61</v>
      </c>
      <c r="E172" s="66"/>
      <c r="F172" s="66"/>
      <c r="G172" s="18"/>
      <c r="H172" s="18"/>
      <c r="I172" s="99"/>
      <c r="J172" s="70"/>
      <c r="K172" s="70"/>
      <c r="L172" s="66"/>
      <c r="M172" s="66"/>
      <c r="N172" s="66"/>
      <c r="O172" s="66"/>
      <c r="P172" s="66"/>
      <c r="Q172" s="66"/>
    </row>
    <row r="173" spans="2:17" x14ac:dyDescent="0.25">
      <c r="B173" s="100">
        <f>IF($F$37='DATI NTC'!$B$21,'DATI NTC'!C21,IF($F$37='DATI NTC'!$B$22,'DATI NTC'!C22,IF($F$37='DATI NTC'!$B$23,'DATI NTC'!C23,IF($F$37='DATI NTC'!$B$24,'DATI NTC'!C24,IF($F$37='DATI NTC'!$B$25,'DATI NTC'!C25,"")))))</f>
        <v>0.22</v>
      </c>
      <c r="C173" s="100">
        <f>IF($F$37='DATI NTC'!$B$21,'DATI NTC'!D21,IF($F$37='DATI NTC'!$B$22,'DATI NTC'!D22,IF($F$37='DATI NTC'!$B$23,'DATI NTC'!D23,IF($F$37='DATI NTC'!$B$24,'DATI NTC'!D24,IF($F$37='DATI NTC'!$B$25,'DATI NTC'!D25,"")))))</f>
        <v>0.3</v>
      </c>
      <c r="D173" s="100">
        <f>IF($F$37='DATI NTC'!$B$21,'DATI NTC'!E21,IF($F$37='DATI NTC'!$B$22,'DATI NTC'!E22,IF($F$37='DATI NTC'!$B$23,'DATI NTC'!E23,IF($F$37='DATI NTC'!$B$24,'DATI NTC'!E24,IF($F$37='DATI NTC'!$B$25,'DATI NTC'!E25,"")))))</f>
        <v>8</v>
      </c>
      <c r="E173" s="66"/>
      <c r="F173" s="66"/>
      <c r="G173" s="66"/>
      <c r="H173" s="66"/>
      <c r="I173" s="66"/>
      <c r="J173" s="70"/>
      <c r="K173" s="70"/>
      <c r="L173" s="66"/>
      <c r="M173" s="66"/>
      <c r="N173" s="66"/>
      <c r="O173" s="66"/>
      <c r="P173" s="66"/>
      <c r="Q173" s="66"/>
    </row>
    <row r="174" spans="2:17" x14ac:dyDescent="0.25">
      <c r="B174" s="66"/>
      <c r="C174" s="66"/>
      <c r="D174" s="66"/>
      <c r="E174" s="78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</row>
    <row r="175" spans="2:17" ht="17.25" x14ac:dyDescent="0.25">
      <c r="B175" s="150" t="s">
        <v>28</v>
      </c>
      <c r="C175" s="150"/>
      <c r="D175" s="150"/>
      <c r="E175" s="103" t="s">
        <v>12</v>
      </c>
      <c r="F175" s="104">
        <f>B173^2*F161*LN(D173/C173)*(7+F161*LN(D173/C173))</f>
        <v>1.6342119731764906</v>
      </c>
      <c r="G175" s="153">
        <f>D173</f>
        <v>8</v>
      </c>
      <c r="I175" s="18"/>
      <c r="J175" s="18"/>
      <c r="K175" s="66"/>
      <c r="L175" s="66"/>
      <c r="M175" s="66"/>
      <c r="N175" s="66"/>
      <c r="O175" s="66"/>
      <c r="P175" s="66"/>
      <c r="Q175" s="66"/>
    </row>
    <row r="176" spans="2:17" ht="17.25" x14ac:dyDescent="0.25">
      <c r="B176" s="150" t="s">
        <v>185</v>
      </c>
      <c r="C176" s="150"/>
      <c r="D176" s="150"/>
      <c r="E176" s="103" t="s">
        <v>187</v>
      </c>
      <c r="F176" s="104">
        <f>IF(G176&lt;G175,F175,B173^2*F161*LN(F35/C173)*(7+F161*LN(F35/C173)))</f>
        <v>1.6342119731764906</v>
      </c>
      <c r="G176" s="151">
        <f>F35</f>
        <v>6</v>
      </c>
      <c r="H176" s="26"/>
      <c r="I176" s="78"/>
      <c r="J176" s="78"/>
      <c r="K176" s="66"/>
      <c r="L176" s="66"/>
      <c r="M176" s="66"/>
      <c r="N176" s="66"/>
      <c r="O176" s="66"/>
      <c r="P176" s="66"/>
      <c r="Q176" s="66"/>
    </row>
    <row r="177" spans="2:17" ht="17.25" x14ac:dyDescent="0.25">
      <c r="B177" s="150" t="s">
        <v>186</v>
      </c>
      <c r="C177" s="150"/>
      <c r="D177" s="150"/>
      <c r="E177" s="103" t="s">
        <v>188</v>
      </c>
      <c r="F177" s="104">
        <f>IF(G177&lt;G175,F175,B173^2*F161*LN(C67/C173)*(7+F161*LN(F35/C173)))</f>
        <v>1.6454769883318145</v>
      </c>
      <c r="G177" s="151">
        <f>C67</f>
        <v>9</v>
      </c>
      <c r="H177" s="26"/>
      <c r="I177" s="78"/>
      <c r="J177" s="78"/>
      <c r="K177" s="66"/>
      <c r="L177" s="66"/>
      <c r="M177" s="66"/>
      <c r="N177" s="66"/>
      <c r="O177" s="66"/>
      <c r="P177" s="66"/>
      <c r="Q177" s="66"/>
    </row>
    <row r="178" spans="2:17" x14ac:dyDescent="0.25">
      <c r="B178" s="70"/>
      <c r="C178" s="70"/>
      <c r="D178" s="150"/>
      <c r="E178" s="70"/>
      <c r="F178" s="70"/>
      <c r="G178" s="70"/>
      <c r="H178" s="70"/>
      <c r="I178" s="78"/>
      <c r="J178" s="78"/>
      <c r="K178" s="66"/>
      <c r="L178" s="66"/>
      <c r="M178" s="66"/>
      <c r="N178" s="66"/>
      <c r="O178" s="66"/>
      <c r="P178" s="66"/>
      <c r="Q178" s="66"/>
    </row>
    <row r="179" spans="2:17" x14ac:dyDescent="0.25">
      <c r="B179" s="103"/>
      <c r="C179" s="104"/>
      <c r="D179" s="152"/>
      <c r="E179" s="152"/>
      <c r="F179" s="152"/>
      <c r="G179" s="152"/>
      <c r="H179" s="152"/>
      <c r="I179" s="78"/>
      <c r="J179" s="78"/>
      <c r="K179" s="66"/>
      <c r="L179" s="66"/>
      <c r="M179" s="66"/>
      <c r="N179" s="66"/>
      <c r="O179" s="66"/>
      <c r="P179" s="66"/>
      <c r="Q179" s="66"/>
    </row>
    <row r="180" spans="2:17" x14ac:dyDescent="0.25">
      <c r="B180" s="103"/>
      <c r="C180" s="104"/>
      <c r="D180" s="152"/>
      <c r="E180" s="152"/>
      <c r="F180" s="152"/>
      <c r="G180" s="152"/>
      <c r="H180" s="152"/>
      <c r="I180" s="78"/>
      <c r="J180" s="78"/>
      <c r="K180" s="66"/>
      <c r="L180" s="66"/>
      <c r="M180" s="66"/>
      <c r="N180" s="66"/>
      <c r="O180" s="66"/>
      <c r="P180" s="66"/>
      <c r="Q180" s="66"/>
    </row>
    <row r="181" spans="2:17" x14ac:dyDescent="0.25">
      <c r="B181" s="103"/>
      <c r="C181" s="104"/>
      <c r="D181" s="102"/>
      <c r="E181" s="102"/>
      <c r="F181" s="102"/>
      <c r="G181" s="102"/>
      <c r="H181" s="102"/>
      <c r="I181" s="18"/>
      <c r="J181" s="18"/>
      <c r="K181" s="66"/>
      <c r="L181" s="66"/>
      <c r="M181" s="66"/>
      <c r="N181" s="66"/>
      <c r="O181" s="66"/>
      <c r="P181" s="66"/>
      <c r="Q181" s="66"/>
    </row>
    <row r="182" spans="2:17" x14ac:dyDescent="0.25">
      <c r="B182" s="103"/>
      <c r="C182" s="104"/>
      <c r="D182" s="102"/>
      <c r="E182" s="102"/>
      <c r="F182" s="102"/>
      <c r="G182" s="102"/>
      <c r="H182" s="102"/>
      <c r="I182" s="18"/>
      <c r="J182" s="18"/>
      <c r="K182" s="66"/>
      <c r="L182" s="66"/>
      <c r="M182" s="66"/>
      <c r="N182" s="66"/>
      <c r="O182" s="66"/>
      <c r="P182" s="66"/>
      <c r="Q182" s="66"/>
    </row>
    <row r="183" spans="2:17" x14ac:dyDescent="0.25">
      <c r="B183" s="103"/>
      <c r="C183" s="104"/>
      <c r="D183" s="102"/>
      <c r="E183" s="102"/>
      <c r="F183" s="102"/>
      <c r="G183" s="102"/>
      <c r="H183" s="102"/>
      <c r="I183" s="18"/>
      <c r="J183" s="18"/>
      <c r="K183" s="66"/>
      <c r="L183" s="66"/>
      <c r="M183" s="66"/>
      <c r="N183" s="66"/>
      <c r="O183" s="66"/>
      <c r="P183" s="66"/>
      <c r="Q183" s="66"/>
    </row>
    <row r="184" spans="2:17" x14ac:dyDescent="0.25">
      <c r="B184" s="103"/>
      <c r="C184" s="104"/>
      <c r="D184" s="102"/>
      <c r="E184" s="102"/>
      <c r="F184" s="102"/>
      <c r="G184" s="102"/>
      <c r="H184" s="102"/>
      <c r="I184" s="18"/>
      <c r="J184" s="18"/>
      <c r="K184" s="66"/>
      <c r="L184" s="66"/>
      <c r="M184" s="66"/>
      <c r="N184" s="66"/>
      <c r="O184" s="66"/>
      <c r="P184" s="66"/>
      <c r="Q184" s="66"/>
    </row>
    <row r="185" spans="2:17" x14ac:dyDescent="0.25">
      <c r="B185" s="103"/>
      <c r="C185" s="104"/>
      <c r="D185" s="102"/>
      <c r="E185" s="102"/>
      <c r="F185" s="102"/>
      <c r="G185" s="102"/>
      <c r="H185" s="102"/>
      <c r="I185" s="18"/>
      <c r="J185" s="18"/>
      <c r="K185" s="66"/>
      <c r="L185" s="66"/>
      <c r="M185" s="66"/>
      <c r="N185" s="66"/>
      <c r="O185" s="66"/>
      <c r="P185" s="66"/>
      <c r="Q185" s="66"/>
    </row>
    <row r="186" spans="2:17" x14ac:dyDescent="0.25">
      <c r="B186" s="103"/>
      <c r="C186" s="104"/>
      <c r="D186" s="102"/>
      <c r="E186" s="102"/>
      <c r="F186" s="102"/>
      <c r="G186" s="102"/>
      <c r="H186" s="102"/>
      <c r="I186" s="18"/>
      <c r="J186" s="18"/>
      <c r="K186" s="66"/>
      <c r="L186" s="66"/>
      <c r="M186" s="66"/>
      <c r="N186" s="66"/>
      <c r="O186" s="66"/>
      <c r="P186" s="66"/>
      <c r="Q186" s="66"/>
    </row>
    <row r="187" spans="2:17" x14ac:dyDescent="0.25">
      <c r="B187" s="103"/>
      <c r="C187" s="104"/>
      <c r="D187" s="102"/>
      <c r="E187" s="102"/>
      <c r="F187" s="102"/>
      <c r="G187" s="102"/>
      <c r="H187" s="102"/>
      <c r="I187" s="18"/>
      <c r="J187" s="18"/>
      <c r="K187" s="66"/>
      <c r="L187" s="66"/>
      <c r="M187" s="66"/>
      <c r="N187" s="66"/>
      <c r="O187" s="66"/>
      <c r="P187" s="66"/>
      <c r="Q187" s="66"/>
    </row>
    <row r="188" spans="2:17" x14ac:dyDescent="0.25">
      <c r="B188" s="103"/>
      <c r="C188" s="104"/>
      <c r="D188" s="102"/>
      <c r="E188" s="102"/>
      <c r="F188" s="102"/>
      <c r="G188" s="102"/>
      <c r="H188" s="102"/>
      <c r="I188" s="18"/>
      <c r="J188" s="18"/>
      <c r="K188" s="66"/>
      <c r="L188" s="66"/>
      <c r="M188" s="66"/>
      <c r="N188" s="66"/>
      <c r="O188" s="66"/>
      <c r="P188" s="66"/>
      <c r="Q188" s="66"/>
    </row>
    <row r="189" spans="2:17" x14ac:dyDescent="0.25">
      <c r="B189" s="103"/>
      <c r="C189" s="104"/>
      <c r="D189" s="102"/>
      <c r="E189" s="102"/>
      <c r="F189" s="102"/>
      <c r="G189" s="102"/>
      <c r="H189" s="102"/>
      <c r="I189" s="18"/>
      <c r="J189" s="18"/>
      <c r="K189" s="66"/>
      <c r="L189" s="66"/>
      <c r="M189" s="66"/>
      <c r="N189" s="66"/>
      <c r="O189" s="66"/>
      <c r="P189" s="66"/>
      <c r="Q189" s="66"/>
    </row>
    <row r="190" spans="2:17" x14ac:dyDescent="0.25">
      <c r="B190" s="66"/>
      <c r="C190" s="66"/>
      <c r="D190" s="66"/>
      <c r="E190" s="66"/>
      <c r="F190" s="66"/>
      <c r="G190" s="66"/>
      <c r="H190" s="66"/>
      <c r="I190" s="18"/>
      <c r="J190" s="18"/>
      <c r="K190" s="66"/>
      <c r="L190" s="66"/>
      <c r="M190" s="66"/>
      <c r="N190" s="66"/>
      <c r="O190" s="66"/>
      <c r="P190" s="66"/>
      <c r="Q190" s="66"/>
    </row>
    <row r="191" spans="2:17" x14ac:dyDescent="0.25">
      <c r="B191" s="66"/>
      <c r="C191" s="66"/>
      <c r="D191" s="66"/>
      <c r="E191" s="66"/>
      <c r="F191" s="66"/>
      <c r="G191" s="66"/>
      <c r="H191" s="66"/>
      <c r="I191" s="18"/>
      <c r="J191" s="18"/>
      <c r="K191" s="66"/>
      <c r="L191" s="66"/>
      <c r="M191" s="66"/>
      <c r="N191" s="66"/>
      <c r="O191" s="66"/>
      <c r="P191" s="66"/>
      <c r="Q191" s="66"/>
    </row>
    <row r="192" spans="2:17" x14ac:dyDescent="0.25">
      <c r="B192" s="66"/>
      <c r="C192" s="66"/>
      <c r="D192" s="66"/>
      <c r="E192" s="66"/>
      <c r="F192" s="66"/>
      <c r="G192" s="66"/>
      <c r="H192" s="66"/>
      <c r="I192" s="18"/>
      <c r="J192" s="18"/>
      <c r="K192" s="66"/>
      <c r="L192" s="66"/>
      <c r="M192" s="66"/>
      <c r="N192" s="66"/>
      <c r="O192" s="66"/>
      <c r="P192" s="66"/>
      <c r="Q192" s="66"/>
    </row>
    <row r="193" spans="2:17" x14ac:dyDescent="0.25">
      <c r="B193" s="66"/>
      <c r="C193" s="66"/>
      <c r="D193" s="66"/>
      <c r="E193" s="66"/>
      <c r="F193" s="66"/>
      <c r="G193" s="66"/>
      <c r="H193" s="66"/>
      <c r="I193" s="18"/>
      <c r="J193" s="18"/>
      <c r="K193" s="66"/>
      <c r="L193" s="66"/>
      <c r="M193" s="66"/>
      <c r="N193" s="66"/>
      <c r="O193" s="66"/>
      <c r="P193" s="66"/>
      <c r="Q193" s="66"/>
    </row>
    <row r="194" spans="2:17" ht="14.45" customHeight="1" x14ac:dyDescent="0.25">
      <c r="B194" s="87" t="s">
        <v>119</v>
      </c>
      <c r="C194" s="104"/>
      <c r="D194" s="103"/>
      <c r="E194" s="102"/>
      <c r="F194" s="102"/>
      <c r="G194" s="102"/>
      <c r="H194" s="102"/>
      <c r="I194" s="66"/>
      <c r="J194" s="66"/>
      <c r="K194" s="66"/>
      <c r="L194" s="66"/>
      <c r="M194" s="66"/>
      <c r="N194" s="66"/>
      <c r="O194" s="66"/>
      <c r="P194" s="66"/>
      <c r="Q194" s="66"/>
    </row>
    <row r="195" spans="2:17" ht="14.45" customHeight="1" x14ac:dyDescent="0.25">
      <c r="B195" s="273" t="s">
        <v>120</v>
      </c>
      <c r="C195" s="273"/>
      <c r="D195" s="273"/>
      <c r="E195" s="273"/>
      <c r="F195" s="273"/>
      <c r="G195" s="273"/>
      <c r="H195" s="102"/>
      <c r="I195" s="66"/>
      <c r="J195" s="66"/>
      <c r="K195" s="66"/>
      <c r="L195" s="66"/>
      <c r="M195" s="66"/>
      <c r="N195" s="66"/>
      <c r="O195" s="66"/>
      <c r="P195" s="66"/>
      <c r="Q195" s="66"/>
    </row>
    <row r="196" spans="2:17" ht="14.45" customHeight="1" x14ac:dyDescent="0.25">
      <c r="B196" s="243" t="s">
        <v>74</v>
      </c>
      <c r="C196" s="243"/>
      <c r="D196" s="243"/>
      <c r="E196" s="243"/>
      <c r="F196" s="243"/>
      <c r="G196" s="243"/>
      <c r="H196" s="243"/>
      <c r="I196" s="66"/>
      <c r="J196" s="66"/>
      <c r="K196" s="66"/>
      <c r="L196" s="66"/>
      <c r="M196" s="66"/>
      <c r="N196" s="66"/>
      <c r="O196" s="66"/>
      <c r="P196" s="66"/>
      <c r="Q196" s="66"/>
    </row>
    <row r="197" spans="2:17" ht="14.45" customHeight="1" x14ac:dyDescent="0.25">
      <c r="B197" s="243"/>
      <c r="C197" s="243"/>
      <c r="D197" s="243"/>
      <c r="E197" s="243"/>
      <c r="F197" s="243"/>
      <c r="G197" s="243"/>
      <c r="H197" s="243"/>
      <c r="I197" s="66"/>
      <c r="J197" s="66"/>
      <c r="K197" s="66"/>
      <c r="L197" s="66"/>
      <c r="M197" s="66"/>
      <c r="N197" s="66"/>
      <c r="O197" s="66"/>
      <c r="P197" s="66"/>
      <c r="Q197" s="66"/>
    </row>
    <row r="198" spans="2:17" ht="14.45" customHeight="1" x14ac:dyDescent="0.25">
      <c r="B198" s="243"/>
      <c r="C198" s="243"/>
      <c r="D198" s="243"/>
      <c r="E198" s="243"/>
      <c r="F198" s="243"/>
      <c r="G198" s="243"/>
      <c r="H198" s="243"/>
      <c r="I198" s="66"/>
      <c r="J198" s="66"/>
      <c r="K198" s="66"/>
      <c r="L198" s="66"/>
      <c r="M198" s="66"/>
      <c r="N198" s="66"/>
      <c r="O198" s="66"/>
      <c r="P198" s="66"/>
      <c r="Q198" s="66"/>
    </row>
    <row r="199" spans="2:17" ht="14.45" customHeight="1" x14ac:dyDescent="0.25">
      <c r="B199" s="243"/>
      <c r="C199" s="243"/>
      <c r="D199" s="243"/>
      <c r="E199" s="243"/>
      <c r="F199" s="243"/>
      <c r="G199" s="243"/>
      <c r="H199" s="243"/>
      <c r="I199" s="66"/>
      <c r="J199" s="66"/>
      <c r="K199" s="66"/>
      <c r="L199" s="66"/>
      <c r="M199" s="66"/>
      <c r="N199" s="66"/>
      <c r="O199" s="66"/>
      <c r="P199" s="66"/>
      <c r="Q199" s="66"/>
    </row>
    <row r="200" spans="2:17" ht="14.45" customHeight="1" x14ac:dyDescent="0.25">
      <c r="B200" s="243"/>
      <c r="C200" s="243"/>
      <c r="D200" s="243"/>
      <c r="E200" s="243"/>
      <c r="F200" s="243"/>
      <c r="G200" s="243"/>
      <c r="H200" s="243"/>
      <c r="I200" s="66"/>
      <c r="J200" s="66"/>
      <c r="K200" s="66"/>
      <c r="L200" s="66"/>
      <c r="M200" s="66"/>
      <c r="N200" s="66"/>
      <c r="O200" s="66"/>
      <c r="P200" s="66"/>
      <c r="Q200" s="66"/>
    </row>
    <row r="201" spans="2:17" ht="14.45" customHeight="1" x14ac:dyDescent="0.25">
      <c r="B201" s="141"/>
      <c r="C201" s="141"/>
      <c r="D201" s="141"/>
      <c r="E201" s="141"/>
      <c r="F201" s="141"/>
      <c r="G201" s="141"/>
      <c r="H201" s="102"/>
      <c r="I201" s="66"/>
      <c r="J201" s="66"/>
      <c r="K201" s="66"/>
      <c r="L201" s="66"/>
      <c r="M201" s="66"/>
      <c r="N201" s="66"/>
      <c r="O201" s="66"/>
      <c r="P201" s="66"/>
      <c r="Q201" s="66"/>
    </row>
    <row r="202" spans="2:17" ht="14.45" customHeight="1" x14ac:dyDescent="0.25">
      <c r="B202" s="141"/>
      <c r="C202" s="141"/>
      <c r="D202" s="141"/>
      <c r="E202" s="141"/>
      <c r="F202" s="141"/>
      <c r="G202" s="141"/>
      <c r="H202" s="102"/>
      <c r="I202" s="66"/>
      <c r="J202" s="66"/>
      <c r="K202" s="66"/>
      <c r="L202" s="66"/>
      <c r="M202" s="66"/>
      <c r="N202" s="66"/>
      <c r="O202" s="66"/>
      <c r="P202" s="66"/>
      <c r="Q202" s="66"/>
    </row>
    <row r="203" spans="2:17" ht="14.45" customHeight="1" x14ac:dyDescent="0.25">
      <c r="B203" s="141"/>
      <c r="C203" s="141"/>
      <c r="D203" s="141"/>
      <c r="E203" s="141"/>
      <c r="F203" s="141"/>
      <c r="G203" s="141"/>
      <c r="H203" s="102"/>
      <c r="I203" s="66"/>
      <c r="J203" s="66"/>
      <c r="K203" s="66"/>
      <c r="L203" s="66"/>
      <c r="M203" s="66"/>
      <c r="N203" s="66"/>
      <c r="O203" s="66"/>
      <c r="P203" s="66"/>
      <c r="Q203" s="66"/>
    </row>
    <row r="204" spans="2:17" ht="14.45" customHeight="1" x14ac:dyDescent="0.25">
      <c r="B204" s="141"/>
      <c r="C204" s="141"/>
      <c r="D204" s="141"/>
      <c r="E204" s="141"/>
      <c r="F204" s="141"/>
      <c r="G204" s="141"/>
      <c r="H204" s="102"/>
      <c r="I204" s="66"/>
      <c r="J204" s="66"/>
      <c r="K204" s="66"/>
      <c r="L204" s="66"/>
      <c r="M204" s="66"/>
      <c r="N204" s="66"/>
      <c r="O204" s="66"/>
      <c r="P204" s="66"/>
      <c r="Q204" s="66"/>
    </row>
    <row r="205" spans="2:17" ht="14.45" customHeight="1" x14ac:dyDescent="0.25">
      <c r="B205" s="141"/>
      <c r="C205" s="141"/>
      <c r="D205" s="141"/>
      <c r="E205" s="141"/>
      <c r="F205" s="141"/>
      <c r="G205" s="141"/>
      <c r="H205" s="102"/>
      <c r="I205" s="66"/>
      <c r="J205" s="66"/>
      <c r="K205" s="66"/>
      <c r="L205" s="66"/>
      <c r="M205" s="66"/>
      <c r="N205" s="66"/>
      <c r="O205" s="66"/>
      <c r="P205" s="66"/>
      <c r="Q205" s="66"/>
    </row>
    <row r="206" spans="2:17" ht="14.45" customHeight="1" x14ac:dyDescent="0.25">
      <c r="B206" s="141"/>
      <c r="C206" s="141"/>
      <c r="D206" s="141"/>
      <c r="E206" s="141"/>
      <c r="F206" s="141"/>
      <c r="G206" s="141"/>
      <c r="H206" s="102"/>
      <c r="I206" s="66"/>
      <c r="J206" s="66"/>
      <c r="K206" s="66"/>
      <c r="L206" s="66"/>
      <c r="M206" s="66"/>
      <c r="N206" s="66"/>
      <c r="O206" s="66"/>
      <c r="P206" s="66"/>
      <c r="Q206" s="66"/>
    </row>
    <row r="207" spans="2:17" ht="14.45" customHeight="1" x14ac:dyDescent="0.25">
      <c r="B207" s="141"/>
      <c r="C207" s="141"/>
      <c r="D207" s="141"/>
      <c r="E207" s="141"/>
      <c r="F207" s="141"/>
      <c r="G207" s="141"/>
      <c r="H207" s="102"/>
      <c r="I207" s="66"/>
      <c r="J207" s="66"/>
      <c r="K207" s="66"/>
      <c r="L207" s="66"/>
      <c r="M207" s="66"/>
      <c r="N207" s="66"/>
      <c r="O207" s="66"/>
      <c r="P207" s="66"/>
      <c r="Q207" s="66"/>
    </row>
    <row r="208" spans="2:17" ht="14.45" customHeight="1" x14ac:dyDescent="0.25">
      <c r="B208" s="141"/>
      <c r="C208" s="141"/>
      <c r="D208" s="141"/>
      <c r="E208" s="141"/>
      <c r="F208" s="141"/>
      <c r="G208" s="141"/>
      <c r="H208" s="102"/>
      <c r="I208" s="66"/>
      <c r="J208" s="66"/>
      <c r="K208" s="66"/>
      <c r="L208" s="66"/>
      <c r="M208" s="66"/>
      <c r="N208" s="66"/>
      <c r="O208" s="66"/>
      <c r="P208" s="66"/>
      <c r="Q208" s="66"/>
    </row>
    <row r="209" spans="2:17" ht="14.45" customHeight="1" x14ac:dyDescent="0.25">
      <c r="B209" s="141"/>
      <c r="C209" s="141"/>
      <c r="D209" s="141"/>
      <c r="E209" s="141"/>
      <c r="F209" s="141"/>
      <c r="G209" s="141"/>
      <c r="H209" s="102"/>
      <c r="I209" s="66"/>
      <c r="J209" s="66"/>
      <c r="K209" s="66"/>
      <c r="L209" s="66"/>
      <c r="M209" s="66"/>
      <c r="N209" s="66"/>
      <c r="O209" s="66"/>
      <c r="P209" s="66"/>
      <c r="Q209" s="66"/>
    </row>
    <row r="210" spans="2:17" ht="14.45" customHeight="1" x14ac:dyDescent="0.25">
      <c r="B210" s="141"/>
      <c r="C210" s="141"/>
      <c r="D210" s="141"/>
      <c r="E210" s="141"/>
      <c r="F210" s="141"/>
      <c r="G210" s="141"/>
      <c r="H210" s="102"/>
      <c r="I210" s="66"/>
      <c r="J210" s="66"/>
      <c r="K210" s="66"/>
      <c r="L210" s="66"/>
      <c r="M210" s="66"/>
      <c r="N210" s="66"/>
      <c r="O210" s="66"/>
      <c r="P210" s="66"/>
      <c r="Q210" s="66"/>
    </row>
    <row r="211" spans="2:17" ht="14.45" customHeight="1" x14ac:dyDescent="0.25">
      <c r="B211" s="141"/>
      <c r="C211" s="141"/>
      <c r="D211" s="141"/>
      <c r="E211" s="141"/>
      <c r="F211" s="141"/>
      <c r="G211" s="141"/>
      <c r="H211" s="102"/>
      <c r="I211" s="66"/>
      <c r="J211" s="66"/>
      <c r="K211" s="66"/>
      <c r="L211" s="66"/>
      <c r="M211" s="66"/>
      <c r="N211" s="66"/>
      <c r="O211" s="66"/>
      <c r="P211" s="66"/>
      <c r="Q211" s="66"/>
    </row>
    <row r="212" spans="2:17" ht="14.45" customHeight="1" x14ac:dyDescent="0.25">
      <c r="B212" s="141"/>
      <c r="C212" s="141"/>
      <c r="D212" s="141"/>
      <c r="E212" s="141"/>
      <c r="F212" s="141"/>
      <c r="G212" s="141"/>
      <c r="H212" s="102"/>
      <c r="I212" s="66"/>
      <c r="J212" s="66"/>
      <c r="K212" s="66"/>
      <c r="L212" s="66"/>
      <c r="M212" s="66"/>
      <c r="N212" s="66"/>
      <c r="O212" s="66"/>
      <c r="P212" s="66"/>
      <c r="Q212" s="66"/>
    </row>
    <row r="213" spans="2:17" ht="14.45" customHeight="1" x14ac:dyDescent="0.25">
      <c r="B213" s="141"/>
      <c r="C213" s="141"/>
      <c r="D213" s="141"/>
      <c r="E213" s="141"/>
      <c r="F213" s="141"/>
      <c r="G213" s="141"/>
      <c r="H213" s="102"/>
      <c r="I213" s="66"/>
      <c r="J213" s="66"/>
      <c r="K213" s="66"/>
      <c r="L213" s="66"/>
      <c r="M213" s="66"/>
      <c r="N213" s="66"/>
      <c r="O213" s="66"/>
      <c r="P213" s="66"/>
      <c r="Q213" s="66"/>
    </row>
    <row r="214" spans="2:17" ht="14.45" customHeight="1" x14ac:dyDescent="0.25">
      <c r="B214" s="141"/>
      <c r="C214" s="141"/>
      <c r="D214" s="141"/>
      <c r="E214" s="141"/>
      <c r="F214" s="141"/>
      <c r="G214" s="141"/>
      <c r="H214" s="102"/>
      <c r="I214" s="66"/>
      <c r="J214" s="66"/>
      <c r="K214" s="66"/>
      <c r="L214" s="66"/>
      <c r="M214" s="66"/>
      <c r="N214" s="66"/>
      <c r="O214" s="66"/>
      <c r="P214" s="66"/>
      <c r="Q214" s="66"/>
    </row>
    <row r="215" spans="2:17" ht="14.45" customHeight="1" x14ac:dyDescent="0.25">
      <c r="B215" s="141"/>
      <c r="C215" s="141"/>
      <c r="D215" s="141"/>
      <c r="E215" s="141"/>
      <c r="F215" s="141"/>
      <c r="G215" s="141"/>
      <c r="H215" s="102"/>
      <c r="I215" s="66"/>
      <c r="J215" s="66"/>
      <c r="K215" s="66"/>
      <c r="L215" s="66"/>
      <c r="M215" s="66"/>
      <c r="N215" s="66"/>
      <c r="O215" s="66"/>
      <c r="P215" s="66"/>
      <c r="Q215" s="66"/>
    </row>
    <row r="216" spans="2:17" ht="14.45" customHeight="1" x14ac:dyDescent="0.25">
      <c r="B216" s="141"/>
      <c r="C216" s="141"/>
      <c r="D216" s="141"/>
      <c r="E216" s="141"/>
      <c r="F216" s="141"/>
      <c r="G216" s="141"/>
      <c r="H216" s="102"/>
      <c r="I216" s="66"/>
      <c r="J216" s="66"/>
      <c r="K216" s="66"/>
      <c r="L216" s="66"/>
      <c r="M216" s="66"/>
      <c r="N216" s="66"/>
      <c r="O216" s="66"/>
      <c r="P216" s="66"/>
      <c r="Q216" s="66"/>
    </row>
    <row r="217" spans="2:17" ht="14.45" customHeight="1" x14ac:dyDescent="0.25">
      <c r="B217" s="141"/>
      <c r="C217" s="141"/>
      <c r="D217" s="141"/>
      <c r="E217" s="141"/>
      <c r="F217" s="141"/>
      <c r="G217" s="141"/>
      <c r="H217" s="102"/>
      <c r="I217" s="66"/>
      <c r="J217" s="66"/>
      <c r="K217" s="66"/>
      <c r="L217" s="66"/>
      <c r="M217" s="66"/>
      <c r="N217" s="66"/>
      <c r="O217" s="66"/>
      <c r="P217" s="66"/>
      <c r="Q217" s="66"/>
    </row>
    <row r="218" spans="2:17" ht="14.45" customHeight="1" x14ac:dyDescent="0.25">
      <c r="B218" s="141"/>
      <c r="C218" s="141"/>
      <c r="D218" s="141"/>
      <c r="E218" s="141"/>
      <c r="F218" s="141"/>
      <c r="G218" s="141"/>
      <c r="H218" s="102"/>
      <c r="I218" s="66"/>
      <c r="J218" s="66"/>
      <c r="K218" s="66"/>
      <c r="L218" s="66"/>
      <c r="M218" s="66"/>
      <c r="N218" s="66"/>
      <c r="O218" s="66"/>
      <c r="P218" s="66"/>
      <c r="Q218" s="66"/>
    </row>
    <row r="219" spans="2:17" ht="14.45" customHeight="1" x14ac:dyDescent="0.25">
      <c r="B219" s="141"/>
      <c r="C219" s="141"/>
      <c r="D219" s="141"/>
      <c r="E219" s="141"/>
      <c r="F219" s="141"/>
      <c r="G219" s="141"/>
      <c r="H219" s="102"/>
      <c r="I219" s="66"/>
      <c r="J219" s="66"/>
      <c r="K219" s="66"/>
      <c r="L219" s="66"/>
      <c r="M219" s="66"/>
      <c r="N219" s="66"/>
      <c r="O219" s="66"/>
      <c r="P219" s="66"/>
      <c r="Q219" s="66"/>
    </row>
    <row r="220" spans="2:17" ht="14.45" customHeight="1" x14ac:dyDescent="0.25">
      <c r="B220" s="141"/>
      <c r="C220" s="141"/>
      <c r="D220" s="141"/>
      <c r="E220" s="141"/>
      <c r="F220" s="141"/>
      <c r="G220" s="141"/>
      <c r="H220" s="102"/>
      <c r="I220" s="66"/>
      <c r="J220" s="66"/>
      <c r="K220" s="66"/>
      <c r="L220" s="66"/>
      <c r="M220" s="66"/>
      <c r="N220" s="66"/>
      <c r="O220" s="66"/>
      <c r="P220" s="66"/>
      <c r="Q220" s="66"/>
    </row>
    <row r="221" spans="2:17" ht="14.45" customHeight="1" x14ac:dyDescent="0.25">
      <c r="B221" s="141"/>
      <c r="C221" s="141"/>
      <c r="D221" s="141"/>
      <c r="E221" s="141"/>
      <c r="F221" s="141"/>
      <c r="G221" s="141"/>
      <c r="H221" s="102"/>
      <c r="I221" s="66"/>
      <c r="J221" s="66"/>
      <c r="K221" s="66"/>
      <c r="L221" s="66"/>
      <c r="M221" s="66"/>
      <c r="N221" s="66"/>
      <c r="O221" s="66"/>
      <c r="P221" s="66"/>
      <c r="Q221" s="66"/>
    </row>
    <row r="222" spans="2:17" ht="14.45" customHeight="1" x14ac:dyDescent="0.25">
      <c r="B222" s="141"/>
      <c r="C222" s="141"/>
      <c r="D222" s="141"/>
      <c r="E222" s="141"/>
      <c r="F222" s="141"/>
      <c r="G222" s="141"/>
      <c r="H222" s="102"/>
      <c r="I222" s="66"/>
      <c r="J222" s="66"/>
      <c r="K222" s="66"/>
      <c r="L222" s="66"/>
      <c r="M222" s="66"/>
      <c r="N222" s="66"/>
      <c r="O222" s="66"/>
      <c r="P222" s="66"/>
      <c r="Q222" s="66"/>
    </row>
    <row r="223" spans="2:17" ht="14.45" customHeight="1" x14ac:dyDescent="0.25">
      <c r="B223" s="141"/>
      <c r="C223" s="141"/>
      <c r="D223" s="141"/>
      <c r="E223" s="141"/>
      <c r="F223" s="141"/>
      <c r="G223" s="141"/>
      <c r="H223" s="102"/>
      <c r="I223" s="66"/>
      <c r="J223" s="66"/>
      <c r="K223" s="66"/>
      <c r="L223" s="66"/>
      <c r="M223" s="66"/>
      <c r="N223" s="66"/>
      <c r="O223" s="66"/>
      <c r="P223" s="66"/>
      <c r="Q223" s="66"/>
    </row>
    <row r="224" spans="2:17" ht="14.45" customHeight="1" x14ac:dyDescent="0.25">
      <c r="B224" s="141"/>
      <c r="C224" s="141"/>
      <c r="D224" s="141"/>
      <c r="E224" s="141"/>
      <c r="F224" s="141"/>
      <c r="G224" s="141"/>
      <c r="H224" s="102"/>
      <c r="I224" s="66"/>
      <c r="J224" s="66"/>
      <c r="K224" s="66"/>
      <c r="L224" s="66"/>
      <c r="M224" s="66"/>
      <c r="N224" s="66"/>
      <c r="O224" s="66"/>
      <c r="P224" s="66"/>
      <c r="Q224" s="66"/>
    </row>
    <row r="225" spans="2:17" ht="14.45" customHeight="1" x14ac:dyDescent="0.25">
      <c r="B225" s="141"/>
      <c r="C225" s="141"/>
      <c r="D225" s="141"/>
      <c r="E225" s="141"/>
      <c r="F225" s="141"/>
      <c r="G225" s="141"/>
      <c r="H225" s="102"/>
      <c r="I225" s="66"/>
      <c r="J225" s="66"/>
      <c r="K225" s="66"/>
      <c r="L225" s="66"/>
      <c r="M225" s="66"/>
      <c r="N225" s="66"/>
      <c r="O225" s="66"/>
      <c r="P225" s="66"/>
      <c r="Q225" s="66"/>
    </row>
    <row r="226" spans="2:17" ht="14.45" customHeight="1" x14ac:dyDescent="0.25">
      <c r="B226" s="141"/>
      <c r="C226" s="141"/>
      <c r="D226" s="141"/>
      <c r="E226" s="141"/>
      <c r="F226" s="141"/>
      <c r="G226" s="141"/>
      <c r="H226" s="102"/>
      <c r="I226" s="66"/>
      <c r="J226" s="66"/>
      <c r="K226" s="66"/>
      <c r="L226" s="66"/>
      <c r="M226" s="66"/>
      <c r="N226" s="66"/>
      <c r="O226" s="66"/>
      <c r="P226" s="66"/>
      <c r="Q226" s="66"/>
    </row>
    <row r="227" spans="2:17" ht="14.45" customHeight="1" thickBot="1" x14ac:dyDescent="0.3">
      <c r="B227" s="141"/>
      <c r="C227" s="141"/>
      <c r="D227" s="141"/>
      <c r="E227" s="141"/>
      <c r="F227" s="141"/>
      <c r="G227" s="141"/>
      <c r="H227" s="102"/>
      <c r="I227" s="66"/>
      <c r="J227" s="66"/>
      <c r="K227" s="66"/>
      <c r="L227" s="66"/>
      <c r="M227" s="66"/>
      <c r="N227" s="66"/>
      <c r="O227" s="66"/>
      <c r="P227" s="66"/>
      <c r="Q227" s="66"/>
    </row>
    <row r="228" spans="2:17" ht="14.45" customHeight="1" thickBot="1" x14ac:dyDescent="0.3">
      <c r="I228" s="183"/>
      <c r="J228" s="66"/>
      <c r="K228" s="66"/>
      <c r="L228" s="66"/>
      <c r="M228" s="66"/>
      <c r="N228" s="66"/>
      <c r="O228" s="66"/>
      <c r="P228" s="66"/>
      <c r="Q228" s="66"/>
    </row>
    <row r="229" spans="2:17" ht="14.45" customHeight="1" thickTop="1" x14ac:dyDescent="0.25">
      <c r="B229" s="253" t="s">
        <v>190</v>
      </c>
      <c r="C229" s="254"/>
      <c r="D229" s="254"/>
      <c r="E229" s="254"/>
      <c r="F229" s="254"/>
      <c r="G229" s="255"/>
      <c r="I229" s="183"/>
      <c r="J229" s="66"/>
      <c r="K229" s="66"/>
      <c r="L229" s="66"/>
      <c r="M229" s="66"/>
      <c r="N229" s="66"/>
      <c r="O229" s="66"/>
      <c r="P229" s="66"/>
      <c r="Q229" s="66"/>
    </row>
    <row r="230" spans="2:17" ht="14.45" customHeight="1" thickBot="1" x14ac:dyDescent="0.3">
      <c r="B230" s="256"/>
      <c r="C230" s="257"/>
      <c r="D230" s="257"/>
      <c r="E230" s="257"/>
      <c r="F230" s="257"/>
      <c r="G230" s="258"/>
      <c r="I230" s="183"/>
      <c r="J230" s="66"/>
      <c r="K230" s="66"/>
      <c r="L230" s="66"/>
      <c r="M230" s="66"/>
      <c r="N230" s="66"/>
      <c r="O230" s="66"/>
      <c r="P230" s="66"/>
      <c r="Q230" s="66"/>
    </row>
    <row r="231" spans="2:17" ht="14.45" customHeight="1" thickTop="1" x14ac:dyDescent="0.25">
      <c r="B231" s="148"/>
      <c r="C231" s="115"/>
      <c r="D231" s="115"/>
      <c r="E231" s="115"/>
      <c r="F231" s="115"/>
      <c r="G231" s="115"/>
      <c r="H231" s="115"/>
      <c r="I231" s="66"/>
      <c r="J231" s="66"/>
      <c r="K231" s="66"/>
      <c r="L231" s="66"/>
      <c r="M231" s="66"/>
      <c r="N231" s="66"/>
      <c r="O231" s="66"/>
      <c r="P231" s="66"/>
      <c r="Q231" s="66"/>
    </row>
    <row r="232" spans="2:17" ht="14.45" customHeight="1" x14ac:dyDescent="0.25">
      <c r="B232" s="105"/>
      <c r="C232" s="105"/>
      <c r="D232" s="105"/>
      <c r="E232" s="105"/>
      <c r="F232" s="105"/>
      <c r="G232" s="105"/>
      <c r="H232" s="105"/>
      <c r="I232" s="105"/>
      <c r="J232" s="105"/>
      <c r="K232" s="66"/>
      <c r="L232" s="66"/>
      <c r="M232" s="66"/>
      <c r="N232" s="66"/>
      <c r="O232" s="66"/>
      <c r="P232" s="66"/>
      <c r="Q232" s="66"/>
    </row>
    <row r="233" spans="2:17" ht="14.45" customHeight="1" x14ac:dyDescent="0.25">
      <c r="B233" s="220" t="s">
        <v>138</v>
      </c>
      <c r="C233" s="116" t="s">
        <v>83</v>
      </c>
      <c r="D233" s="21"/>
      <c r="E233" s="117" t="s">
        <v>84</v>
      </c>
      <c r="F233" s="194">
        <f>ABS('dati nascosti'!AO66)</f>
        <v>0.28000000000000003</v>
      </c>
      <c r="G233" s="117" t="s">
        <v>85</v>
      </c>
      <c r="H233" s="66"/>
      <c r="O233" s="66"/>
      <c r="P233" s="66"/>
      <c r="Q233" s="66"/>
    </row>
    <row r="234" spans="2:17" ht="14.45" customHeight="1" x14ac:dyDescent="0.25">
      <c r="B234" s="221"/>
      <c r="C234" s="119">
        <f>0.8-F237</f>
        <v>0.60000000000000009</v>
      </c>
      <c r="D234" s="120" t="s">
        <v>137</v>
      </c>
      <c r="E234" s="66"/>
      <c r="F234" s="184" t="str">
        <f>IF('dati nascosti'!AO66&lt;=0,"↖","↘")</f>
        <v>↖</v>
      </c>
      <c r="G234" s="185" t="s">
        <v>195</v>
      </c>
      <c r="H234" s="66"/>
      <c r="O234" s="66"/>
      <c r="P234" s="66"/>
      <c r="Q234" s="18"/>
    </row>
    <row r="235" spans="2:17" ht="14.45" customHeight="1" x14ac:dyDescent="0.25">
      <c r="B235" s="220" t="s">
        <v>139</v>
      </c>
      <c r="C235" s="116" t="s">
        <v>83</v>
      </c>
      <c r="D235" s="198" t="s">
        <v>131</v>
      </c>
      <c r="E235" s="66"/>
      <c r="F235" s="187"/>
      <c r="G235" s="188"/>
      <c r="H235" s="66"/>
      <c r="O235" s="66"/>
      <c r="P235" s="66"/>
      <c r="Q235" s="66"/>
    </row>
    <row r="236" spans="2:17" ht="14.45" customHeight="1" x14ac:dyDescent="0.25">
      <c r="B236" s="221"/>
      <c r="C236" s="119">
        <f>ABS('dati nascosti'!AO66-F237)</f>
        <v>0.48000000000000004</v>
      </c>
      <c r="D236" s="120" t="s">
        <v>137</v>
      </c>
      <c r="E236" s="66"/>
      <c r="F236" s="206" t="s">
        <v>199</v>
      </c>
      <c r="G236" s="207"/>
      <c r="H236" s="66"/>
      <c r="O236" s="66"/>
      <c r="P236" s="66"/>
      <c r="Q236" s="66"/>
    </row>
    <row r="237" spans="2:17" ht="14.45" customHeight="1" x14ac:dyDescent="0.25">
      <c r="B237" s="220" t="s">
        <v>140</v>
      </c>
      <c r="C237" s="116" t="s">
        <v>83</v>
      </c>
      <c r="D237" s="66"/>
      <c r="E237" s="189" t="s">
        <v>137</v>
      </c>
      <c r="F237" s="208">
        <f>VLOOKUP(B229,'dati nascosti'!X66:AM69,15,FALSE)</f>
        <v>0.2</v>
      </c>
      <c r="G237" s="209"/>
      <c r="H237" s="186" t="s">
        <v>137</v>
      </c>
      <c r="O237" s="66"/>
      <c r="P237" s="66"/>
      <c r="Q237" s="66"/>
    </row>
    <row r="238" spans="2:17" ht="14.45" customHeight="1" x14ac:dyDescent="0.25">
      <c r="B238" s="221"/>
      <c r="C238" s="119">
        <f>ABS(0.4+F237)</f>
        <v>0.60000000000000009</v>
      </c>
      <c r="E238" s="117" t="s">
        <v>86</v>
      </c>
      <c r="F238" s="208"/>
      <c r="G238" s="209"/>
      <c r="H238" s="117" t="s">
        <v>87</v>
      </c>
      <c r="O238" s="184"/>
      <c r="P238" s="66"/>
      <c r="Q238" s="66"/>
    </row>
    <row r="239" spans="2:17" ht="14.45" customHeight="1" thickBot="1" x14ac:dyDescent="0.3">
      <c r="B239" s="220" t="s">
        <v>141</v>
      </c>
      <c r="C239" s="116" t="s">
        <v>83</v>
      </c>
      <c r="D239" s="105"/>
      <c r="E239" s="66"/>
      <c r="F239" s="204" t="s">
        <v>197</v>
      </c>
      <c r="G239" s="205"/>
      <c r="H239" s="66"/>
      <c r="O239" s="66"/>
      <c r="P239" s="66"/>
      <c r="Q239" s="66"/>
    </row>
    <row r="240" spans="2:17" ht="14.45" customHeight="1" x14ac:dyDescent="0.25">
      <c r="B240" s="221"/>
      <c r="C240" s="119">
        <f>ABS(0.4+F237)</f>
        <v>0.60000000000000009</v>
      </c>
      <c r="D240" s="105"/>
      <c r="E240" s="105"/>
      <c r="F240" s="105"/>
      <c r="G240" s="105"/>
      <c r="H240" s="105"/>
      <c r="J240" s="66"/>
      <c r="K240" s="66"/>
      <c r="L240" s="66"/>
      <c r="M240" s="66"/>
      <c r="N240" s="66"/>
      <c r="O240" s="66"/>
      <c r="P240" s="66"/>
      <c r="Q240" s="66"/>
    </row>
    <row r="241" spans="2:17" ht="14.45" customHeight="1" x14ac:dyDescent="0.25">
      <c r="B241" s="149"/>
      <c r="C241" s="66"/>
      <c r="D241" s="105"/>
      <c r="E241" s="105"/>
      <c r="F241" s="105"/>
      <c r="G241" s="105"/>
      <c r="H241" s="105"/>
      <c r="J241" s="66"/>
      <c r="K241" s="66"/>
      <c r="L241" s="66"/>
      <c r="M241" s="66"/>
      <c r="N241" s="66"/>
      <c r="O241" s="66"/>
      <c r="P241" s="66"/>
      <c r="Q241" s="66"/>
    </row>
    <row r="242" spans="2:17" ht="14.45" customHeight="1" x14ac:dyDescent="0.25">
      <c r="B242" s="149"/>
      <c r="C242" s="66"/>
      <c r="D242" s="105"/>
      <c r="E242" s="105"/>
      <c r="F242" s="105"/>
      <c r="G242" s="105"/>
      <c r="H242" s="105"/>
      <c r="J242" s="66"/>
      <c r="K242" s="133"/>
      <c r="L242" s="66"/>
      <c r="M242" s="66"/>
      <c r="N242" s="66"/>
      <c r="O242" s="66"/>
      <c r="P242" s="66"/>
      <c r="Q242" s="66"/>
    </row>
    <row r="243" spans="2:17" ht="14.45" customHeight="1" x14ac:dyDescent="0.25">
      <c r="B243" s="220" t="s">
        <v>138</v>
      </c>
      <c r="C243" s="116" t="s">
        <v>83</v>
      </c>
      <c r="D243" s="105"/>
      <c r="E243" s="117" t="s">
        <v>84</v>
      </c>
      <c r="F243" s="194">
        <f>ABS('dati nascosti'!AO67)</f>
        <v>0.28000000000000003</v>
      </c>
      <c r="G243" s="117" t="s">
        <v>85</v>
      </c>
      <c r="N243" s="66"/>
      <c r="O243" s="66"/>
      <c r="P243" s="66"/>
      <c r="Q243" s="66"/>
    </row>
    <row r="244" spans="2:17" ht="14.45" customHeight="1" x14ac:dyDescent="0.25">
      <c r="B244" s="221"/>
      <c r="C244" s="119">
        <f>0.8+F247</f>
        <v>1</v>
      </c>
      <c r="D244" s="120" t="s">
        <v>137</v>
      </c>
      <c r="E244" s="66"/>
      <c r="F244" s="184" t="str">
        <f>IF('dati nascosti'!AO67&lt;=0,"↖","↘")</f>
        <v>↖</v>
      </c>
      <c r="G244" s="185" t="s">
        <v>195</v>
      </c>
      <c r="H244" s="66"/>
      <c r="N244" s="66"/>
      <c r="O244" s="66"/>
      <c r="P244" s="66"/>
      <c r="Q244" s="66"/>
    </row>
    <row r="245" spans="2:17" ht="14.45" customHeight="1" x14ac:dyDescent="0.25">
      <c r="B245" s="220" t="s">
        <v>139</v>
      </c>
      <c r="C245" s="116" t="s">
        <v>83</v>
      </c>
      <c r="D245" s="121" t="s">
        <v>131</v>
      </c>
      <c r="E245" s="66"/>
      <c r="F245" s="187"/>
      <c r="G245" s="188"/>
      <c r="H245" s="66"/>
      <c r="N245" s="66"/>
      <c r="O245" s="66"/>
      <c r="P245" s="66"/>
      <c r="Q245" s="66"/>
    </row>
    <row r="246" spans="2:17" ht="14.45" customHeight="1" x14ac:dyDescent="0.25">
      <c r="B246" s="221"/>
      <c r="C246" s="119">
        <f>ABS('dati nascosti'!AO67+F247)</f>
        <v>8.0000000000000016E-2</v>
      </c>
      <c r="D246" s="120" t="s">
        <v>137</v>
      </c>
      <c r="E246" s="66"/>
      <c r="F246" s="206" t="s">
        <v>198</v>
      </c>
      <c r="G246" s="207"/>
      <c r="H246" s="66"/>
      <c r="N246" s="66"/>
      <c r="O246" s="66"/>
      <c r="P246" s="66"/>
      <c r="Q246" s="66"/>
    </row>
    <row r="247" spans="2:17" ht="14.45" customHeight="1" x14ac:dyDescent="0.25">
      <c r="B247" s="220" t="s">
        <v>140</v>
      </c>
      <c r="C247" s="116" t="s">
        <v>83</v>
      </c>
      <c r="D247" s="66"/>
      <c r="E247" s="189" t="s">
        <v>137</v>
      </c>
      <c r="F247" s="210">
        <f>ABS(VLOOKUP(B229,'dati nascosti'!X66:AM69,16,FALSE))</f>
        <v>0.2</v>
      </c>
      <c r="G247" s="211"/>
      <c r="H247" s="186" t="s">
        <v>137</v>
      </c>
      <c r="N247" s="66"/>
      <c r="O247" s="66"/>
      <c r="P247" s="66"/>
      <c r="Q247" s="66"/>
    </row>
    <row r="248" spans="2:17" ht="14.45" customHeight="1" x14ac:dyDescent="0.25">
      <c r="B248" s="221"/>
      <c r="C248" s="119">
        <f>ABS(0.4-F247)</f>
        <v>0.2</v>
      </c>
      <c r="E248" s="117" t="s">
        <v>86</v>
      </c>
      <c r="F248" s="210"/>
      <c r="G248" s="211"/>
      <c r="H248" s="117" t="s">
        <v>87</v>
      </c>
      <c r="N248" s="66"/>
      <c r="O248" s="66"/>
      <c r="P248" s="66"/>
      <c r="Q248" s="66"/>
    </row>
    <row r="249" spans="2:17" ht="14.45" customHeight="1" thickBot="1" x14ac:dyDescent="0.3">
      <c r="B249" s="220" t="s">
        <v>141</v>
      </c>
      <c r="C249" s="116" t="s">
        <v>83</v>
      </c>
      <c r="D249" s="105"/>
      <c r="E249" s="66"/>
      <c r="F249" s="204" t="s">
        <v>196</v>
      </c>
      <c r="G249" s="205"/>
      <c r="H249" s="66"/>
      <c r="N249" s="66"/>
      <c r="O249" s="66"/>
      <c r="P249" s="66"/>
      <c r="Q249" s="66"/>
    </row>
    <row r="250" spans="2:17" ht="14.45" customHeight="1" x14ac:dyDescent="0.25">
      <c r="B250" s="221"/>
      <c r="C250" s="119">
        <f>ABS(0.4-F247)</f>
        <v>0.2</v>
      </c>
      <c r="D250" s="105"/>
      <c r="E250" s="105"/>
      <c r="F250" s="105"/>
      <c r="G250" s="105"/>
      <c r="H250" s="105"/>
      <c r="J250" s="66"/>
      <c r="K250" s="66"/>
      <c r="L250" s="66"/>
      <c r="M250" s="66"/>
      <c r="N250" s="66"/>
      <c r="O250" s="66"/>
      <c r="P250" s="66"/>
      <c r="Q250" s="66"/>
    </row>
    <row r="251" spans="2:17" ht="14.45" customHeight="1" x14ac:dyDescent="0.25">
      <c r="B251" s="124"/>
      <c r="C251" s="125"/>
      <c r="D251" s="105"/>
      <c r="E251" s="105"/>
      <c r="F251" s="105"/>
      <c r="G251" s="105"/>
      <c r="H251" s="105"/>
      <c r="J251" s="66"/>
      <c r="K251" s="66"/>
      <c r="P251" s="66"/>
      <c r="Q251" s="66"/>
    </row>
    <row r="252" spans="2:17" ht="14.45" customHeight="1" x14ac:dyDescent="0.25"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P252" s="66"/>
      <c r="Q252" s="66"/>
    </row>
    <row r="253" spans="2:17" ht="14.45" customHeight="1" x14ac:dyDescent="0.25">
      <c r="B253" s="79" t="s">
        <v>133</v>
      </c>
      <c r="C253" s="80"/>
      <c r="D253" s="80"/>
      <c r="E253" s="80"/>
      <c r="F253" s="80"/>
      <c r="G253" s="80"/>
      <c r="H253" s="80"/>
      <c r="I253" s="66"/>
      <c r="J253" s="66"/>
      <c r="K253" s="66"/>
      <c r="P253" s="66"/>
      <c r="Q253" s="66"/>
    </row>
    <row r="254" spans="2:17" ht="14.45" customHeight="1" x14ac:dyDescent="0.25"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P254" s="66"/>
      <c r="Q254" s="66"/>
    </row>
    <row r="255" spans="2:17" ht="14.45" customHeight="1" x14ac:dyDescent="0.25">
      <c r="B255" s="126" t="s">
        <v>142</v>
      </c>
      <c r="C255" s="23"/>
      <c r="D255" s="66"/>
      <c r="E255" s="66"/>
      <c r="F255" s="66"/>
      <c r="G255" s="66"/>
      <c r="H255" s="66"/>
      <c r="I255" s="66"/>
      <c r="J255" s="66"/>
      <c r="K255" s="66"/>
      <c r="L255" s="66"/>
      <c r="M255" s="70"/>
      <c r="N255" s="23"/>
      <c r="O255" s="70"/>
      <c r="P255" s="66"/>
      <c r="Q255" s="66"/>
    </row>
    <row r="256" spans="2:17" ht="14.45" customHeight="1" x14ac:dyDescent="0.25">
      <c r="B256" s="23"/>
      <c r="C256" s="21"/>
      <c r="D256" s="66"/>
      <c r="E256" s="66"/>
      <c r="F256" s="66"/>
      <c r="G256" s="66"/>
      <c r="H256" s="66"/>
      <c r="I256" s="66"/>
      <c r="J256" s="66"/>
      <c r="K256" s="66"/>
      <c r="L256" s="66"/>
      <c r="M256" s="70"/>
      <c r="N256" s="23"/>
      <c r="O256" s="70"/>
      <c r="P256" s="66"/>
      <c r="Q256" s="66"/>
    </row>
    <row r="257" spans="2:17" ht="14.45" customHeight="1" x14ac:dyDescent="0.25">
      <c r="B257" s="105"/>
      <c r="C257" s="116" t="s">
        <v>132</v>
      </c>
      <c r="D257" s="24" t="s">
        <v>107</v>
      </c>
      <c r="E257" s="24" t="s">
        <v>113</v>
      </c>
      <c r="F257" s="114" t="s">
        <v>148</v>
      </c>
      <c r="G257" s="114" t="s">
        <v>149</v>
      </c>
      <c r="H257" s="144" t="s">
        <v>150</v>
      </c>
      <c r="K257" s="66"/>
      <c r="N257" s="21"/>
      <c r="O257" s="70"/>
      <c r="P257" s="66"/>
      <c r="Q257" s="66"/>
    </row>
    <row r="258" spans="2:17" ht="14.45" customHeight="1" x14ac:dyDescent="0.25">
      <c r="B258" s="147" t="s">
        <v>151</v>
      </c>
      <c r="C258" s="127">
        <f>E91/1000</f>
        <v>0.49071936851871295</v>
      </c>
      <c r="D258" s="96">
        <f>H95</f>
        <v>0.96</v>
      </c>
      <c r="E258" s="96">
        <f>F161</f>
        <v>1</v>
      </c>
      <c r="F258" s="128">
        <f>F176</f>
        <v>1.6342119731764906</v>
      </c>
      <c r="G258" s="119">
        <f>MAXA(ABS(C234),ABS(C244))</f>
        <v>1</v>
      </c>
      <c r="H258" s="145">
        <f>$C$258*$D$258*$E$258*G258*F258</f>
        <v>0.76986188880277184</v>
      </c>
      <c r="K258" s="66"/>
      <c r="N258" s="22"/>
      <c r="O258" s="70"/>
      <c r="P258" s="66"/>
      <c r="Q258" s="66"/>
    </row>
    <row r="259" spans="2:17" ht="14.45" customHeight="1" x14ac:dyDescent="0.25">
      <c r="B259" s="147" t="s">
        <v>152</v>
      </c>
      <c r="C259" s="127">
        <f>$C$258</f>
        <v>0.49071936851871295</v>
      </c>
      <c r="D259" s="96">
        <f>$D$258</f>
        <v>0.96</v>
      </c>
      <c r="E259" s="129">
        <f>$E$258</f>
        <v>1</v>
      </c>
      <c r="F259" s="128">
        <f>'dati nascosti'!Q104</f>
        <v>1.7122238245519728</v>
      </c>
      <c r="G259" s="96">
        <f>MAXA(C236,C246)</f>
        <v>0.48000000000000004</v>
      </c>
      <c r="H259" s="145">
        <f>$C$259*$D$259*$E$259*G259*F259</f>
        <v>0.38717401833070375</v>
      </c>
      <c r="K259" s="66"/>
      <c r="N259" s="21"/>
      <c r="O259" s="66"/>
      <c r="P259" s="66"/>
      <c r="Q259" s="66"/>
    </row>
    <row r="260" spans="2:17" ht="14.45" customHeight="1" x14ac:dyDescent="0.25">
      <c r="B260" s="147" t="s">
        <v>153</v>
      </c>
      <c r="C260" s="127">
        <f>$C$258</f>
        <v>0.49071936851871295</v>
      </c>
      <c r="D260" s="96">
        <f>$D$258</f>
        <v>0.96</v>
      </c>
      <c r="E260" s="129">
        <f>$E$258</f>
        <v>1</v>
      </c>
      <c r="F260" s="131">
        <f>F259</f>
        <v>1.7122238245519728</v>
      </c>
      <c r="G260" s="96">
        <f>MAXA(ABS(C238),ABS(C248))</f>
        <v>0.60000000000000009</v>
      </c>
      <c r="H260" s="145">
        <f>$C$260*$D$260*$E$260*G260*F260</f>
        <v>0.48396752291337969</v>
      </c>
      <c r="K260" s="66"/>
      <c r="N260" s="22"/>
      <c r="O260" s="66"/>
      <c r="P260" s="66"/>
      <c r="Q260" s="66"/>
    </row>
    <row r="261" spans="2:17" ht="14.45" customHeight="1" x14ac:dyDescent="0.25">
      <c r="B261" s="147" t="s">
        <v>154</v>
      </c>
      <c r="C261" s="127">
        <f>$C$258</f>
        <v>0.49071936851871295</v>
      </c>
      <c r="D261" s="96">
        <f>$D$258</f>
        <v>0.96</v>
      </c>
      <c r="E261" s="129">
        <f>$E$258</f>
        <v>1</v>
      </c>
      <c r="F261" s="131">
        <f>F258</f>
        <v>1.6342119731764906</v>
      </c>
      <c r="G261" s="96">
        <f>MAXA(ABS(C240),ABS(C250))</f>
        <v>0.60000000000000009</v>
      </c>
      <c r="H261" s="145">
        <f>$C$261*$D$261*$E$261*G261*F261</f>
        <v>0.46191713328166317</v>
      </c>
      <c r="K261" s="66"/>
      <c r="L261" s="66"/>
      <c r="M261" s="70"/>
      <c r="N261" s="21"/>
      <c r="O261" s="66"/>
      <c r="P261" s="66"/>
      <c r="Q261" s="66"/>
    </row>
    <row r="262" spans="2:17" ht="14.45" customHeight="1" x14ac:dyDescent="0.25">
      <c r="B262" s="66"/>
      <c r="C262" s="66"/>
      <c r="D262" s="66"/>
      <c r="E262" s="105"/>
      <c r="F262" s="23"/>
      <c r="G262" s="66"/>
      <c r="H262" s="66"/>
      <c r="I262" s="66"/>
      <c r="J262" s="66"/>
      <c r="K262" s="66"/>
      <c r="L262" s="66"/>
      <c r="M262" s="70"/>
      <c r="N262" s="21"/>
      <c r="O262" s="70"/>
      <c r="P262" s="66"/>
      <c r="Q262" s="66"/>
    </row>
    <row r="263" spans="2:17" ht="14.45" customHeight="1" x14ac:dyDescent="0.25">
      <c r="B263" s="66"/>
      <c r="C263" s="268" t="s">
        <v>139</v>
      </c>
      <c r="D263" s="268"/>
      <c r="E263" s="66"/>
      <c r="F263" s="268" t="s">
        <v>140</v>
      </c>
      <c r="G263" s="268"/>
      <c r="H263" s="66"/>
      <c r="I263" s="66"/>
      <c r="J263" s="124"/>
      <c r="K263" s="70"/>
      <c r="L263" s="66"/>
      <c r="M263" s="70"/>
      <c r="N263" s="70"/>
      <c r="O263" s="70"/>
      <c r="P263" s="66"/>
      <c r="Q263" s="66"/>
    </row>
    <row r="264" spans="2:17" ht="14.45" customHeight="1" x14ac:dyDescent="0.25">
      <c r="B264" s="66"/>
      <c r="C264" s="105"/>
      <c r="D264" s="132">
        <f>H259</f>
        <v>0.38717401833070375</v>
      </c>
      <c r="E264" s="105"/>
      <c r="F264" s="132">
        <f>H260</f>
        <v>0.48396752291337969</v>
      </c>
      <c r="G264" s="105"/>
      <c r="H264" s="66"/>
      <c r="I264" s="66"/>
      <c r="J264" s="124"/>
      <c r="K264" s="70"/>
      <c r="L264" s="66"/>
      <c r="M264" s="70"/>
      <c r="N264" s="70"/>
      <c r="O264" s="70"/>
      <c r="P264" s="66"/>
      <c r="Q264" s="66"/>
    </row>
    <row r="265" spans="2:17" ht="14.45" customHeight="1" x14ac:dyDescent="0.25">
      <c r="B265" s="120" t="s">
        <v>137</v>
      </c>
      <c r="C265" s="66"/>
      <c r="D265" s="66"/>
      <c r="E265" s="191" t="str">
        <f>IF(G259=ABS('dati nascosti'!AP66),IF('dati nascosti'!AP66&lt;0,"↖","↘"),IF('dati nascosti'!AP67&lt;0,"↖","↘"))</f>
        <v>↖</v>
      </c>
      <c r="F265" s="192" t="s">
        <v>195</v>
      </c>
      <c r="G265" s="105"/>
      <c r="H265" s="66"/>
      <c r="L265" s="66"/>
      <c r="M265" s="70"/>
      <c r="N265" s="70"/>
      <c r="O265" s="70"/>
      <c r="P265" s="66"/>
      <c r="Q265" s="66"/>
    </row>
    <row r="266" spans="2:17" ht="14.45" customHeight="1" x14ac:dyDescent="0.25">
      <c r="B266" s="121" t="s">
        <v>131</v>
      </c>
      <c r="C266" s="122"/>
      <c r="D266" s="66"/>
      <c r="E266" s="187"/>
      <c r="F266" s="188"/>
      <c r="G266" s="105"/>
      <c r="H266" s="66"/>
      <c r="L266" s="66"/>
      <c r="M266" s="66"/>
      <c r="N266" s="66"/>
      <c r="O266" s="66"/>
      <c r="P266" s="66"/>
      <c r="Q266" s="66"/>
    </row>
    <row r="267" spans="2:17" ht="14.45" customHeight="1" x14ac:dyDescent="0.25">
      <c r="B267" s="120" t="s">
        <v>137</v>
      </c>
      <c r="C267" s="23"/>
      <c r="D267" s="66"/>
      <c r="E267" s="206"/>
      <c r="F267" s="207"/>
      <c r="G267" s="105"/>
      <c r="H267" s="66"/>
      <c r="L267" s="66"/>
      <c r="M267" s="66"/>
      <c r="N267" s="66"/>
      <c r="O267" s="66"/>
      <c r="P267" s="66"/>
      <c r="Q267" s="66"/>
    </row>
    <row r="268" spans="2:17" ht="14.45" customHeight="1" x14ac:dyDescent="0.25">
      <c r="B268" s="66"/>
      <c r="C268" s="23"/>
      <c r="D268" s="190" t="s">
        <v>137</v>
      </c>
      <c r="E268" s="195"/>
      <c r="F268" s="196"/>
      <c r="G268" s="193" t="s">
        <v>137</v>
      </c>
      <c r="H268" s="66"/>
      <c r="M268" s="66"/>
      <c r="N268" s="66"/>
      <c r="O268" s="66"/>
      <c r="P268" s="66"/>
      <c r="Q268" s="66"/>
    </row>
    <row r="269" spans="2:17" ht="14.45" customHeight="1" x14ac:dyDescent="0.25">
      <c r="C269" s="66"/>
      <c r="D269" s="132">
        <f>H258</f>
        <v>0.76986188880277184</v>
      </c>
      <c r="E269" s="195"/>
      <c r="F269" s="196"/>
      <c r="G269" s="132">
        <f>H261</f>
        <v>0.46191713328166317</v>
      </c>
      <c r="H269" s="66"/>
      <c r="L269" s="66"/>
      <c r="M269" s="66"/>
      <c r="N269" s="66"/>
      <c r="O269" s="66"/>
      <c r="P269" s="66"/>
      <c r="Q269" s="66"/>
    </row>
    <row r="270" spans="2:17" ht="14.45" customHeight="1" thickBot="1" x14ac:dyDescent="0.3">
      <c r="C270" s="268" t="s">
        <v>138</v>
      </c>
      <c r="D270" s="269"/>
      <c r="E270" s="204"/>
      <c r="F270" s="205"/>
      <c r="G270" s="270" t="s">
        <v>141</v>
      </c>
      <c r="H270" s="268"/>
      <c r="L270" s="66"/>
      <c r="M270" s="66"/>
      <c r="N270" s="66"/>
      <c r="O270" s="66"/>
      <c r="P270" s="66"/>
      <c r="Q270" s="66"/>
    </row>
    <row r="271" spans="2:17" ht="14.45" customHeight="1" x14ac:dyDescent="0.25">
      <c r="B271" s="66"/>
      <c r="C271" s="23"/>
      <c r="D271" s="105"/>
      <c r="E271" s="105"/>
      <c r="F271" s="105"/>
      <c r="G271" s="105"/>
      <c r="H271" s="66"/>
      <c r="I271" s="66"/>
      <c r="J271" s="66"/>
      <c r="K271" s="66"/>
      <c r="L271" s="66"/>
      <c r="M271" s="66"/>
      <c r="N271" s="66"/>
      <c r="O271" s="66"/>
      <c r="P271" s="66"/>
      <c r="Q271" s="66"/>
    </row>
    <row r="272" spans="2:17" ht="14.45" customHeight="1" x14ac:dyDescent="0.25"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</row>
    <row r="273" spans="2:17" ht="14.45" customHeight="1" x14ac:dyDescent="0.25">
      <c r="B273" s="66"/>
      <c r="C273" s="66"/>
      <c r="D273" s="66"/>
      <c r="E273" s="66"/>
      <c r="F273" s="66"/>
      <c r="G273" s="66"/>
      <c r="H273" s="66"/>
      <c r="I273" s="66"/>
      <c r="L273" s="66"/>
      <c r="M273" s="66"/>
      <c r="N273" s="66"/>
      <c r="O273" s="66"/>
      <c r="P273" s="66"/>
      <c r="Q273" s="66"/>
    </row>
    <row r="274" spans="2:17" ht="14.45" customHeight="1" x14ac:dyDescent="0.25">
      <c r="B274" s="66"/>
      <c r="C274" s="66"/>
      <c r="D274" s="66"/>
      <c r="E274" s="66"/>
      <c r="F274" s="66"/>
      <c r="G274" s="66"/>
      <c r="H274" s="66"/>
      <c r="I274" s="66"/>
      <c r="L274" s="66"/>
      <c r="M274" s="66"/>
      <c r="N274" s="66"/>
      <c r="O274" s="66"/>
      <c r="P274" s="66"/>
      <c r="Q274" s="66"/>
    </row>
    <row r="275" spans="2:17" ht="14.45" customHeight="1" x14ac:dyDescent="0.25"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</row>
    <row r="276" spans="2:17" ht="14.45" customHeight="1" x14ac:dyDescent="0.25"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</row>
    <row r="277" spans="2:17" ht="14.45" customHeight="1" x14ac:dyDescent="0.25"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</row>
    <row r="278" spans="2:17" ht="14.45" customHeight="1" x14ac:dyDescent="0.25"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</row>
    <row r="279" spans="2:17" ht="14.45" customHeight="1" x14ac:dyDescent="0.25"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</row>
    <row r="280" spans="2:17" ht="14.45" customHeight="1" x14ac:dyDescent="0.25"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</row>
    <row r="281" spans="2:17" ht="14.45" customHeight="1" x14ac:dyDescent="0.25"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</row>
    <row r="282" spans="2:17" ht="14.45" customHeight="1" x14ac:dyDescent="0.25"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</row>
    <row r="283" spans="2:17" ht="14.45" customHeight="1" x14ac:dyDescent="0.25"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</row>
    <row r="284" spans="2:17" ht="14.45" customHeight="1" x14ac:dyDescent="0.25"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</row>
    <row r="285" spans="2:17" ht="14.45" customHeight="1" x14ac:dyDescent="0.25"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</row>
    <row r="286" spans="2:17" ht="14.45" customHeight="1" x14ac:dyDescent="0.25"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</row>
    <row r="287" spans="2:17" ht="14.45" customHeight="1" x14ac:dyDescent="0.25"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</row>
    <row r="288" spans="2:17" ht="14.45" customHeight="1" x14ac:dyDescent="0.25"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</row>
    <row r="289" spans="2:17" ht="14.45" customHeight="1" x14ac:dyDescent="0.25"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</row>
    <row r="290" spans="2:17" ht="14.45" customHeight="1" x14ac:dyDescent="0.25"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</row>
    <row r="291" spans="2:17" ht="14.45" customHeight="1" x14ac:dyDescent="0.25"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</row>
    <row r="292" spans="2:17" ht="14.45" customHeight="1" x14ac:dyDescent="0.25"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</row>
    <row r="293" spans="2:17" ht="14.45" customHeight="1" x14ac:dyDescent="0.25"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</row>
    <row r="294" spans="2:17" ht="14.45" customHeight="1" x14ac:dyDescent="0.25"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</row>
    <row r="295" spans="2:17" ht="14.45" customHeight="1" x14ac:dyDescent="0.25"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</row>
    <row r="296" spans="2:17" ht="14.45" customHeight="1" x14ac:dyDescent="0.25"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</row>
    <row r="297" spans="2:17" ht="14.45" customHeight="1" x14ac:dyDescent="0.25"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</row>
    <row r="298" spans="2:17" ht="14.45" customHeight="1" x14ac:dyDescent="0.25"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</row>
    <row r="299" spans="2:17" ht="14.45" customHeight="1" x14ac:dyDescent="0.25"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</row>
    <row r="300" spans="2:17" ht="14.45" customHeight="1" x14ac:dyDescent="0.25"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</row>
    <row r="301" spans="2:17" ht="14.45" customHeight="1" x14ac:dyDescent="0.25"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</row>
    <row r="302" spans="2:17" ht="14.45" customHeight="1" x14ac:dyDescent="0.25"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</row>
    <row r="303" spans="2:17" ht="14.45" customHeight="1" x14ac:dyDescent="0.25"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</row>
    <row r="304" spans="2:17" ht="14.45" customHeight="1" x14ac:dyDescent="0.25"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</row>
    <row r="305" spans="2:17" ht="14.45" customHeight="1" x14ac:dyDescent="0.25"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</row>
    <row r="306" spans="2:17" ht="14.45" customHeight="1" x14ac:dyDescent="0.25"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</row>
    <row r="307" spans="2:17" ht="14.45" customHeight="1" x14ac:dyDescent="0.25"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</row>
    <row r="308" spans="2:17" ht="14.45" customHeight="1" x14ac:dyDescent="0.25"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</row>
    <row r="309" spans="2:17" ht="14.45" customHeight="1" x14ac:dyDescent="0.25"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</row>
    <row r="310" spans="2:17" ht="14.45" customHeight="1" x14ac:dyDescent="0.25"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</row>
    <row r="311" spans="2:17" ht="14.45" customHeight="1" x14ac:dyDescent="0.25"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</row>
    <row r="312" spans="2:17" ht="14.45" customHeight="1" x14ac:dyDescent="0.25"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</row>
    <row r="313" spans="2:17" ht="14.45" customHeight="1" x14ac:dyDescent="0.25"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</row>
    <row r="314" spans="2:17" ht="14.45" customHeight="1" x14ac:dyDescent="0.25"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</row>
    <row r="315" spans="2:17" ht="14.45" customHeight="1" x14ac:dyDescent="0.25"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</row>
    <row r="316" spans="2:17" ht="14.45" customHeight="1" x14ac:dyDescent="0.25"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</row>
    <row r="317" spans="2:17" ht="14.45" customHeight="1" x14ac:dyDescent="0.25"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</row>
    <row r="318" spans="2:17" ht="14.45" customHeight="1" x14ac:dyDescent="0.25"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</row>
    <row r="319" spans="2:17" ht="14.45" customHeight="1" x14ac:dyDescent="0.25"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</row>
    <row r="320" spans="2:17" ht="14.45" customHeight="1" x14ac:dyDescent="0.25"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</row>
    <row r="321" spans="2:17" ht="14.45" customHeight="1" x14ac:dyDescent="0.25"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</row>
    <row r="322" spans="2:17" ht="14.45" customHeight="1" x14ac:dyDescent="0.25"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</row>
    <row r="323" spans="2:17" ht="14.45" customHeight="1" x14ac:dyDescent="0.25"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</row>
    <row r="324" spans="2:17" ht="14.45" customHeight="1" x14ac:dyDescent="0.25"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</row>
    <row r="325" spans="2:17" ht="14.45" customHeight="1" x14ac:dyDescent="0.25"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</row>
    <row r="326" spans="2:17" ht="14.45" customHeight="1" x14ac:dyDescent="0.25"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</row>
    <row r="327" spans="2:17" ht="14.45" customHeight="1" x14ac:dyDescent="0.25"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</row>
    <row r="328" spans="2:17" ht="14.45" customHeight="1" x14ac:dyDescent="0.25"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</row>
    <row r="329" spans="2:17" ht="14.45" customHeight="1" x14ac:dyDescent="0.25"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</row>
    <row r="330" spans="2:17" ht="14.45" customHeight="1" x14ac:dyDescent="0.25"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</row>
    <row r="331" spans="2:17" ht="14.45" customHeight="1" x14ac:dyDescent="0.25"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</row>
    <row r="332" spans="2:17" ht="14.45" customHeight="1" x14ac:dyDescent="0.25"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</row>
    <row r="333" spans="2:17" ht="14.45" customHeight="1" x14ac:dyDescent="0.25"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</row>
    <row r="334" spans="2:17" ht="14.45" customHeight="1" x14ac:dyDescent="0.25"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</row>
    <row r="335" spans="2:17" ht="14.45" customHeight="1" x14ac:dyDescent="0.25"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</row>
    <row r="336" spans="2:17" ht="14.45" customHeight="1" x14ac:dyDescent="0.25"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</row>
    <row r="337" spans="2:17" ht="14.45" customHeight="1" x14ac:dyDescent="0.25"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</row>
    <row r="338" spans="2:17" ht="14.45" customHeight="1" x14ac:dyDescent="0.25"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</row>
    <row r="339" spans="2:17" ht="14.45" customHeight="1" x14ac:dyDescent="0.25"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</row>
    <row r="340" spans="2:17" ht="14.45" customHeight="1" x14ac:dyDescent="0.25"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</row>
    <row r="341" spans="2:17" ht="14.45" customHeight="1" x14ac:dyDescent="0.25"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</row>
    <row r="342" spans="2:17" ht="14.45" customHeight="1" x14ac:dyDescent="0.25"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</row>
    <row r="343" spans="2:17" ht="14.45" customHeight="1" x14ac:dyDescent="0.25"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</row>
    <row r="344" spans="2:17" ht="14.45" customHeight="1" x14ac:dyDescent="0.25"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</row>
    <row r="345" spans="2:17" ht="14.45" customHeight="1" x14ac:dyDescent="0.25"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</row>
    <row r="346" spans="2:17" ht="14.45" customHeight="1" x14ac:dyDescent="0.25"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</row>
    <row r="347" spans="2:17" ht="14.45" customHeight="1" x14ac:dyDescent="0.25"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</row>
    <row r="348" spans="2:17" ht="14.45" customHeight="1" x14ac:dyDescent="0.25"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</row>
    <row r="349" spans="2:17" ht="14.45" customHeight="1" x14ac:dyDescent="0.25"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</row>
    <row r="350" spans="2:17" ht="14.45" customHeight="1" x14ac:dyDescent="0.25"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</row>
    <row r="351" spans="2:17" ht="14.45" customHeight="1" x14ac:dyDescent="0.25"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</row>
    <row r="352" spans="2:17" ht="14.45" customHeight="1" x14ac:dyDescent="0.25"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</row>
    <row r="353" spans="2:17" ht="14.45" customHeight="1" x14ac:dyDescent="0.25"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</row>
    <row r="354" spans="2:17" ht="14.45" customHeight="1" x14ac:dyDescent="0.25"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</row>
    <row r="355" spans="2:17" ht="14.45" customHeight="1" x14ac:dyDescent="0.25"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</row>
    <row r="356" spans="2:17" ht="14.45" customHeight="1" x14ac:dyDescent="0.25"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</row>
    <row r="357" spans="2:17" ht="14.45" customHeight="1" x14ac:dyDescent="0.25"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</row>
    <row r="358" spans="2:17" ht="14.45" customHeight="1" x14ac:dyDescent="0.25"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</row>
    <row r="359" spans="2:17" ht="14.45" customHeight="1" x14ac:dyDescent="0.25"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</row>
    <row r="360" spans="2:17" ht="14.45" customHeight="1" x14ac:dyDescent="0.25"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</row>
    <row r="361" spans="2:17" ht="14.45" customHeight="1" x14ac:dyDescent="0.25"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</row>
    <row r="362" spans="2:17" ht="14.45" customHeight="1" x14ac:dyDescent="0.25"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</row>
    <row r="363" spans="2:17" ht="14.45" customHeight="1" x14ac:dyDescent="0.25"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</row>
    <row r="364" spans="2:17" ht="14.45" customHeight="1" x14ac:dyDescent="0.25"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</row>
    <row r="365" spans="2:17" ht="14.45" customHeight="1" x14ac:dyDescent="0.25"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</row>
    <row r="366" spans="2:17" ht="14.45" customHeight="1" x14ac:dyDescent="0.25"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</row>
    <row r="367" spans="2:17" ht="14.45" customHeight="1" x14ac:dyDescent="0.25"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</row>
    <row r="368" spans="2:17" ht="14.45" customHeight="1" x14ac:dyDescent="0.25"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</row>
    <row r="369" spans="2:17" ht="14.45" customHeight="1" x14ac:dyDescent="0.25"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</row>
    <row r="370" spans="2:17" ht="14.45" customHeight="1" x14ac:dyDescent="0.25"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</row>
    <row r="371" spans="2:17" ht="14.45" customHeight="1" x14ac:dyDescent="0.25"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</row>
    <row r="372" spans="2:17" ht="14.45" customHeight="1" x14ac:dyDescent="0.25"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</row>
    <row r="373" spans="2:17" ht="14.45" customHeight="1" x14ac:dyDescent="0.25"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</row>
    <row r="374" spans="2:17" ht="14.45" customHeight="1" x14ac:dyDescent="0.25"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</row>
    <row r="375" spans="2:17" ht="14.45" customHeight="1" x14ac:dyDescent="0.25"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</row>
    <row r="376" spans="2:17" ht="14.45" customHeight="1" x14ac:dyDescent="0.25"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</row>
    <row r="377" spans="2:17" ht="14.45" customHeight="1" x14ac:dyDescent="0.25"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</row>
    <row r="378" spans="2:17" ht="14.45" customHeight="1" x14ac:dyDescent="0.25"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</row>
    <row r="379" spans="2:17" ht="14.45" customHeight="1" x14ac:dyDescent="0.25"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</row>
    <row r="380" spans="2:17" ht="14.45" customHeight="1" x14ac:dyDescent="0.25"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</row>
    <row r="381" spans="2:17" ht="14.45" customHeight="1" x14ac:dyDescent="0.25"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</row>
    <row r="382" spans="2:17" ht="14.45" customHeight="1" x14ac:dyDescent="0.25"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</row>
    <row r="383" spans="2:17" ht="14.45" customHeight="1" x14ac:dyDescent="0.25"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</row>
    <row r="384" spans="2:17" ht="14.45" customHeight="1" x14ac:dyDescent="0.25"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</row>
    <row r="385" spans="2:17" ht="14.45" customHeight="1" x14ac:dyDescent="0.25"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</row>
    <row r="386" spans="2:17" ht="14.45" customHeight="1" x14ac:dyDescent="0.25"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</row>
    <row r="387" spans="2:17" ht="14.45" customHeight="1" x14ac:dyDescent="0.25"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</row>
    <row r="388" spans="2:17" ht="14.45" customHeight="1" x14ac:dyDescent="0.25"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</row>
    <row r="389" spans="2:17" ht="14.45" customHeight="1" x14ac:dyDescent="0.25"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</row>
    <row r="390" spans="2:17" ht="14.45" customHeight="1" x14ac:dyDescent="0.25"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</row>
    <row r="391" spans="2:17" ht="14.45" customHeight="1" x14ac:dyDescent="0.25"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</row>
    <row r="392" spans="2:17" ht="14.45" customHeight="1" x14ac:dyDescent="0.25"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</row>
    <row r="393" spans="2:17" ht="14.45" customHeight="1" x14ac:dyDescent="0.25"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</row>
    <row r="394" spans="2:17" ht="14.45" customHeight="1" x14ac:dyDescent="0.25"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</row>
    <row r="395" spans="2:17" ht="14.45" customHeight="1" x14ac:dyDescent="0.25"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</row>
    <row r="396" spans="2:17" ht="14.45" customHeight="1" x14ac:dyDescent="0.25"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</row>
    <row r="397" spans="2:17" ht="14.45" customHeight="1" x14ac:dyDescent="0.25"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</row>
    <row r="398" spans="2:17" ht="14.45" customHeight="1" x14ac:dyDescent="0.25"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</row>
    <row r="399" spans="2:17" ht="14.45" customHeight="1" x14ac:dyDescent="0.25"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</row>
    <row r="400" spans="2:17" ht="14.45" customHeight="1" x14ac:dyDescent="0.25"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</row>
    <row r="401" spans="2:17" ht="14.45" customHeight="1" x14ac:dyDescent="0.25"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</row>
    <row r="402" spans="2:17" ht="14.45" customHeight="1" x14ac:dyDescent="0.25"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</row>
    <row r="403" spans="2:17" ht="14.45" customHeight="1" x14ac:dyDescent="0.25"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</row>
    <row r="404" spans="2:17" ht="14.45" customHeight="1" x14ac:dyDescent="0.25"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</row>
    <row r="405" spans="2:17" ht="14.45" customHeight="1" x14ac:dyDescent="0.25"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</row>
    <row r="406" spans="2:17" ht="14.45" customHeight="1" x14ac:dyDescent="0.25"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</row>
    <row r="407" spans="2:17" ht="14.45" customHeight="1" x14ac:dyDescent="0.25"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</row>
    <row r="408" spans="2:17" ht="14.45" customHeight="1" x14ac:dyDescent="0.25"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</row>
    <row r="409" spans="2:17" ht="14.45" customHeight="1" x14ac:dyDescent="0.25"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</row>
    <row r="410" spans="2:17" ht="14.45" customHeight="1" x14ac:dyDescent="0.25"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</row>
    <row r="411" spans="2:17" ht="14.45" customHeight="1" x14ac:dyDescent="0.25"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</row>
    <row r="412" spans="2:17" ht="14.45" customHeight="1" x14ac:dyDescent="0.25"/>
    <row r="413" spans="2:17" ht="14.45" customHeight="1" x14ac:dyDescent="0.25"/>
    <row r="414" spans="2:17" ht="14.45" customHeight="1" x14ac:dyDescent="0.25"/>
    <row r="415" spans="2:17" ht="14.45" customHeight="1" x14ac:dyDescent="0.25"/>
    <row r="416" spans="2:17" ht="14.45" customHeight="1" x14ac:dyDescent="0.25"/>
    <row r="417" ht="14.45" customHeight="1" x14ac:dyDescent="0.25"/>
    <row r="418" ht="14.45" customHeight="1" x14ac:dyDescent="0.25"/>
    <row r="419" ht="14.45" customHeight="1" x14ac:dyDescent="0.25"/>
    <row r="420" ht="14.45" customHeight="1" x14ac:dyDescent="0.25"/>
    <row r="421" ht="14.45" customHeight="1" x14ac:dyDescent="0.25"/>
    <row r="422" ht="14.45" customHeight="1" x14ac:dyDescent="0.25"/>
    <row r="423" ht="14.45" customHeight="1" x14ac:dyDescent="0.25"/>
    <row r="424" ht="14.45" customHeight="1" x14ac:dyDescent="0.25"/>
    <row r="425" ht="14.45" customHeight="1" x14ac:dyDescent="0.25"/>
    <row r="426" ht="15" customHeight="1" x14ac:dyDescent="0.25"/>
  </sheetData>
  <sheetProtection algorithmName="SHA-512" hashValue="2fRJ4+7B3eyFcYU+5h1d3ae5WFH6Nb/W77/yOChsF2B/mvsJyqQs4PK9WbhshuFcx/57spzlc811GzEc8SPQrQ==" saltValue="OFqLU7RAI4taBg0fKq/Sdw==" spinCount="100000" sheet="1" objects="1" scenarios="1" selectLockedCells="1"/>
  <protectedRanges>
    <protectedRange sqref="D152:G152" name="Intervallo3"/>
    <protectedRange sqref="F32:F36" name="Intervallo1"/>
    <protectedRange sqref="B6 B21 F32:F37 H95 C156:C159 C67 D70" name="Intervallo2"/>
  </protectedRanges>
  <customSheetViews>
    <customSheetView guid="{C56548B1-AD9F-45D5-A6C9-CFD9EB8CFADF}" scale="110" showGridLines="0" showRowCol="0" fitToPage="1">
      <selection activeCell="F34" sqref="F34"/>
      <rowBreaks count="5" manualBreakCount="5">
        <brk id="51" max="16383" man="1"/>
        <brk id="91" max="16383" man="1"/>
        <brk id="130" max="16383" man="1"/>
        <brk id="177" max="16383" man="1"/>
        <brk id="261" max="16383" man="1"/>
      </rowBreaks>
      <pageMargins left="0.78740157480314965" right="0.78740157480314965" top="0.74803149606299213" bottom="0.74803149606299213" header="0.31496062992125984" footer="0.31496062992125984"/>
      <pageSetup paperSize="9" scale="97" fitToHeight="0" orientation="portrait" horizontalDpi="4294967293" r:id="rId1"/>
    </customSheetView>
  </customSheetViews>
  <mergeCells count="58">
    <mergeCell ref="B237:B238"/>
    <mergeCell ref="B23:H27"/>
    <mergeCell ref="F137:G137"/>
    <mergeCell ref="C270:D270"/>
    <mergeCell ref="C263:D263"/>
    <mergeCell ref="F263:G263"/>
    <mergeCell ref="G270:H270"/>
    <mergeCell ref="B161:D161"/>
    <mergeCell ref="B169:E169"/>
    <mergeCell ref="B170:E170"/>
    <mergeCell ref="B243:B244"/>
    <mergeCell ref="B245:B246"/>
    <mergeCell ref="B247:B248"/>
    <mergeCell ref="B249:B250"/>
    <mergeCell ref="B195:G195"/>
    <mergeCell ref="B32:D32"/>
    <mergeCell ref="B79:E79"/>
    <mergeCell ref="B81:D81"/>
    <mergeCell ref="B235:B236"/>
    <mergeCell ref="B133:H135"/>
    <mergeCell ref="B164:H167"/>
    <mergeCell ref="B89:C89"/>
    <mergeCell ref="B163:D163"/>
    <mergeCell ref="B91:D91"/>
    <mergeCell ref="B132:D132"/>
    <mergeCell ref="B229:G230"/>
    <mergeCell ref="B2:H2"/>
    <mergeCell ref="B239:B240"/>
    <mergeCell ref="B34:D34"/>
    <mergeCell ref="B83:E83"/>
    <mergeCell ref="B84:E84"/>
    <mergeCell ref="B85:E85"/>
    <mergeCell ref="B86:E86"/>
    <mergeCell ref="B87:E87"/>
    <mergeCell ref="B37:E37"/>
    <mergeCell ref="B137:C137"/>
    <mergeCell ref="D137:E137"/>
    <mergeCell ref="B35:E35"/>
    <mergeCell ref="B196:H200"/>
    <mergeCell ref="B64:H64"/>
    <mergeCell ref="B6:H7"/>
    <mergeCell ref="B21:H22"/>
    <mergeCell ref="B4:D4"/>
    <mergeCell ref="F249:G249"/>
    <mergeCell ref="E267:F267"/>
    <mergeCell ref="E270:F270"/>
    <mergeCell ref="F237:G238"/>
    <mergeCell ref="F236:G236"/>
    <mergeCell ref="F239:G239"/>
    <mergeCell ref="F246:G246"/>
    <mergeCell ref="F247:G248"/>
    <mergeCell ref="D152:G152"/>
    <mergeCell ref="B152:C152"/>
    <mergeCell ref="B33:E33"/>
    <mergeCell ref="B29:H30"/>
    <mergeCell ref="B233:B234"/>
    <mergeCell ref="B97:H100"/>
    <mergeCell ref="B78:E78"/>
  </mergeCells>
  <dataValidations count="8">
    <dataValidation type="list" allowBlank="1" showInputMessage="1" showErrorMessage="1" sqref="D70">
      <formula1>incl</formula1>
    </dataValidation>
    <dataValidation type="list" allowBlank="1" showInputMessage="1" showErrorMessage="1" sqref="D152">
      <formula1>topo</formula1>
    </dataValidation>
    <dataValidation type="list" allowBlank="1" showInputMessage="1" showErrorMessage="1" sqref="E61">
      <formula1>catesp</formula1>
    </dataValidation>
    <dataValidation allowBlank="1" showErrorMessage="1" sqref="F32:F33 B32 B34"/>
    <dataValidation type="list" allowBlank="1" showInputMessage="1" showErrorMessage="1" sqref="F34">
      <formula1>TR</formula1>
    </dataValidation>
    <dataValidation type="list" allowBlank="1" showInputMessage="1" showErrorMessage="1" sqref="B21">
      <formula1>rugosità</formula1>
    </dataValidation>
    <dataValidation type="list" allowBlank="1" showInputMessage="1" showErrorMessage="1" sqref="B6">
      <formula1>regioni</formula1>
    </dataValidation>
    <dataValidation type="list" allowBlank="1" showInputMessage="1" showErrorMessage="1" sqref="B229:G230">
      <formula1>for</formula1>
    </dataValidation>
  </dataValidations>
  <pageMargins left="0.78740157480314965" right="0.78740157480314965" top="0.74803149606299213" bottom="0.74803149606299213" header="0.31496062992125984" footer="0.31496062992125984"/>
  <pageSetup paperSize="9" scale="97" fitToHeight="0" orientation="portrait" horizontalDpi="4294967293" r:id="rId2"/>
  <rowBreaks count="5" manualBreakCount="5">
    <brk id="51" max="16383" man="1"/>
    <brk id="91" max="16383" man="1"/>
    <brk id="130" max="16383" man="1"/>
    <brk id="177" max="16383" man="1"/>
    <brk id="261" max="16383" man="1"/>
  </rowBreaks>
  <ignoredErrors>
    <ignoredError sqref="F156:F157 B173:D173 F264 G269 B76:E76 E91" unlockedFormula="1"/>
  </ignoredErrors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P104"/>
  <sheetViews>
    <sheetView topLeftCell="U1" zoomScale="90" zoomScaleNormal="90" workbookViewId="0">
      <selection activeCell="AE10" sqref="AE10"/>
    </sheetView>
  </sheetViews>
  <sheetFormatPr defaultColWidth="9.140625" defaultRowHeight="15" x14ac:dyDescent="0.25"/>
  <cols>
    <col min="1" max="1" width="9.140625" style="1"/>
    <col min="2" max="2" width="10.85546875" style="1" customWidth="1"/>
    <col min="3" max="8" width="9.140625" style="1"/>
    <col min="9" max="9" width="10.85546875" style="1" customWidth="1"/>
    <col min="10" max="10" width="20.28515625" style="1" customWidth="1"/>
    <col min="11" max="11" width="18.140625" style="1" customWidth="1"/>
    <col min="12" max="12" width="21.28515625" style="1" customWidth="1"/>
    <col min="13" max="13" width="9.140625" style="1"/>
    <col min="14" max="14" width="16.42578125" style="1" customWidth="1"/>
    <col min="15" max="15" width="20.28515625" style="1" customWidth="1"/>
    <col min="16" max="16" width="11.28515625" style="1" customWidth="1"/>
    <col min="17" max="17" width="24.85546875" style="1" customWidth="1"/>
    <col min="18" max="24" width="9.140625" style="1"/>
    <col min="25" max="25" width="9.7109375" style="1" bestFit="1" customWidth="1"/>
    <col min="26" max="16384" width="9.140625" style="1"/>
  </cols>
  <sheetData>
    <row r="3" spans="1:33" ht="18.75" x14ac:dyDescent="0.25">
      <c r="B3" s="15" t="s">
        <v>14</v>
      </c>
      <c r="P3" s="16" t="s">
        <v>8</v>
      </c>
      <c r="Q3" s="1" t="s">
        <v>33</v>
      </c>
      <c r="R3" s="17" t="s">
        <v>34</v>
      </c>
      <c r="S3" s="17" t="s">
        <v>34</v>
      </c>
      <c r="X3" s="66"/>
      <c r="Y3" s="130" t="s">
        <v>163</v>
      </c>
      <c r="Z3" s="130" t="s">
        <v>164</v>
      </c>
      <c r="AA3" s="66"/>
      <c r="AB3" s="66"/>
      <c r="AC3"/>
      <c r="AD3"/>
      <c r="AE3" s="158"/>
      <c r="AF3"/>
      <c r="AG3"/>
    </row>
    <row r="4" spans="1:33" x14ac:dyDescent="0.25">
      <c r="A4" s="1" t="s">
        <v>8</v>
      </c>
      <c r="B4" s="56">
        <f>'CALCOLO DEL VENTO'!F35</f>
        <v>6</v>
      </c>
      <c r="C4" s="1" t="s">
        <v>2</v>
      </c>
      <c r="D4" s="282" t="s">
        <v>11</v>
      </c>
      <c r="E4" s="282"/>
      <c r="F4" s="282"/>
      <c r="G4" s="282"/>
      <c r="J4" s="5"/>
      <c r="K4" s="5"/>
      <c r="L4" s="5"/>
      <c r="M4" s="5" t="s">
        <v>126</v>
      </c>
      <c r="N4" s="5"/>
      <c r="O4" s="1">
        <v>0</v>
      </c>
      <c r="P4" s="4">
        <f>'dati nascosti'!$B$4/70*O4</f>
        <v>0</v>
      </c>
      <c r="Q4" s="3">
        <f>IF(P4&lt;'dati nascosti'!$B$12,'dati nascosti'!$B$10^2*'dati nascosti'!$B$9*LN('dati nascosti'!$B$12/'dati nascosti'!$B$11)*(7+'dati nascosti'!$B$9*LN('dati nascosti'!$B$12/'dati nascosti'!$B$11)),'dati nascosti'!$B$10^2*'dati nascosti'!$B$9*LN(P4/'dati nascosti'!$B$11)*(7+'dati nascosti'!$B$9*LN(P4/'dati nascosti'!$B$11)))</f>
        <v>1.6342119731764906</v>
      </c>
      <c r="R4" s="2">
        <f>'dati nascosti'!$B$19*Q4*'dati nascosti'!$B$13*'dati nascosti'!$B$14/1000</f>
        <v>0.76986188880277173</v>
      </c>
      <c r="S4" s="2">
        <f>'dati nascosti'!$B$19*Q4*'dati nascosti'!$B$13*'dati nascosti'!$B$15/1000</f>
        <v>0.36953370662533047</v>
      </c>
      <c r="X4" s="66"/>
      <c r="Y4" s="130">
        <v>1</v>
      </c>
      <c r="Z4" s="130" t="str">
        <f>VLOOKUP(Z15,X19:AD22,IF('CALCOLO DEL VENTO'!F33&lt;=0,2,IF('CALCOLO DEL VENTO'!F33&lt;=10,3,IF('CALCOLO DEL VENTO'!F33&lt;=30,4,IF('CALCOLO DEL VENTO'!F32&lt;500,5,IF('CALCOLO DEL VENTO'!F32&lt;750,6,7))))),FALSE)</f>
        <v>IV</v>
      </c>
      <c r="AA4" s="66"/>
      <c r="AB4" s="66"/>
      <c r="AC4"/>
      <c r="AD4"/>
      <c r="AE4" s="158"/>
      <c r="AF4"/>
      <c r="AG4"/>
    </row>
    <row r="5" spans="1:33" ht="16.5" x14ac:dyDescent="0.25">
      <c r="A5" s="1" t="s">
        <v>10</v>
      </c>
      <c r="B5" s="56">
        <f>'CALCOLO DEL VENTO'!C76</f>
        <v>28</v>
      </c>
      <c r="C5" s="1" t="s">
        <v>9</v>
      </c>
      <c r="D5" s="282" t="s">
        <v>17</v>
      </c>
      <c r="E5" s="282"/>
      <c r="F5" s="282"/>
      <c r="G5" s="282"/>
      <c r="I5" s="2"/>
      <c r="J5" s="6"/>
      <c r="K5" s="40" t="s">
        <v>121</v>
      </c>
      <c r="L5" s="5"/>
      <c r="M5" s="39">
        <v>0</v>
      </c>
      <c r="N5" s="6"/>
      <c r="O5" s="1">
        <f t="shared" ref="O5:O36" si="0">O4+1</f>
        <v>1</v>
      </c>
      <c r="P5" s="4">
        <f>'dati nascosti'!$B$4/70*O5</f>
        <v>8.5714285714285715E-2</v>
      </c>
      <c r="Q5" s="3">
        <f>IF(P5&lt;'dati nascosti'!$B$12,'dati nascosti'!$B$10^2*'dati nascosti'!$B$9*LN('dati nascosti'!$B$12/'dati nascosti'!$B$11)*(7+'dati nascosti'!$B$9*LN('dati nascosti'!$B$12/'dati nascosti'!$B$11)),'dati nascosti'!$B$10^2*'dati nascosti'!$B$9*LN(P5/'dati nascosti'!$B$11)*(7+'dati nascosti'!$B$9*LN(P5/'dati nascosti'!$B$11)))</f>
        <v>1.6342119731764906</v>
      </c>
      <c r="R5" s="2">
        <f>'dati nascosti'!$B$19*Q5*'dati nascosti'!$B$13*'dati nascosti'!$B$14/1000</f>
        <v>0.76986188880277173</v>
      </c>
      <c r="S5" s="2">
        <f>'dati nascosti'!$B$19*Q5*'dati nascosti'!$B$13*'dati nascosti'!$B$15/1000</f>
        <v>0.36953370662533047</v>
      </c>
      <c r="X5" s="66"/>
      <c r="Y5" s="130">
        <v>2</v>
      </c>
      <c r="Z5" s="130" t="str">
        <f>VLOOKUP(Z15,X26:AD29,IF('CALCOLO DEL VENTO'!F33&lt;=0,2,IF('CALCOLO DEL VENTO'!F33&lt;=10,3,IF('CALCOLO DEL VENTO'!F33&lt;=30,4,IF('CALCOLO DEL VENTO'!F32&lt;500,5,IF('CALCOLO DEL VENTO'!F32&lt;750,6,7))))),FALSE)</f>
        <v>IV</v>
      </c>
      <c r="AA5" s="66"/>
      <c r="AB5" s="66"/>
      <c r="AC5"/>
      <c r="AD5"/>
      <c r="AE5" s="158"/>
      <c r="AF5"/>
      <c r="AG5"/>
    </row>
    <row r="6" spans="1:33" ht="16.5" x14ac:dyDescent="0.25">
      <c r="A6" s="1" t="s">
        <v>7</v>
      </c>
      <c r="B6" s="56">
        <f>'CALCOLO DEL VENTO'!D76</f>
        <v>500</v>
      </c>
      <c r="C6" s="1" t="s">
        <v>2</v>
      </c>
      <c r="D6" s="282" t="s">
        <v>15</v>
      </c>
      <c r="E6" s="282"/>
      <c r="F6" s="282"/>
      <c r="G6" s="282"/>
      <c r="I6" s="2"/>
      <c r="J6" s="6"/>
      <c r="K6" s="40" t="s">
        <v>122</v>
      </c>
      <c r="L6" s="5"/>
      <c r="M6" s="39">
        <f>M5+1</f>
        <v>1</v>
      </c>
      <c r="N6" s="6"/>
      <c r="O6" s="1">
        <f t="shared" si="0"/>
        <v>2</v>
      </c>
      <c r="P6" s="4">
        <f>'dati nascosti'!$B$4/70*O6</f>
        <v>0.17142857142857143</v>
      </c>
      <c r="Q6" s="3">
        <f>IF(P6&lt;'dati nascosti'!$B$12,'dati nascosti'!$B$10^2*'dati nascosti'!$B$9*LN('dati nascosti'!$B$12/'dati nascosti'!$B$11)*(7+'dati nascosti'!$B$9*LN('dati nascosti'!$B$12/'dati nascosti'!$B$11)),'dati nascosti'!$B$10^2*'dati nascosti'!$B$9*LN(P6/'dati nascosti'!$B$11)*(7+'dati nascosti'!$B$9*LN(P6/'dati nascosti'!$B$11)))</f>
        <v>1.6342119731764906</v>
      </c>
      <c r="R6" s="2">
        <f>'dati nascosti'!$B$19*Q6*'dati nascosti'!$B$13*'dati nascosti'!$B$14/1000</f>
        <v>0.76986188880277173</v>
      </c>
      <c r="S6" s="2">
        <f>'dati nascosti'!$B$19*Q6*'dati nascosti'!$B$13*'dati nascosti'!$B$15/1000</f>
        <v>0.36953370662533047</v>
      </c>
      <c r="X6" s="66"/>
      <c r="Y6" s="130">
        <v>3</v>
      </c>
      <c r="Z6" s="130" t="str">
        <f>VLOOKUP(Z15,X26:AD29,IF('CALCOLO DEL VENTO'!F33&lt;=0,2,IF('CALCOLO DEL VENTO'!F33&lt;=10,3,IF('CALCOLO DEL VENTO'!F33&lt;=30,4,IF('CALCOLO DEL VENTO'!F32&lt;500,5,IF('CALCOLO DEL VENTO'!F32&lt;750,6,7))))),FALSE)</f>
        <v>IV</v>
      </c>
      <c r="AA6" s="66"/>
      <c r="AB6" s="66"/>
      <c r="AC6"/>
      <c r="AD6"/>
      <c r="AE6" s="158"/>
      <c r="AF6"/>
      <c r="AG6"/>
    </row>
    <row r="7" spans="1:33" ht="16.5" x14ac:dyDescent="0.25">
      <c r="A7" s="1" t="s">
        <v>6</v>
      </c>
      <c r="B7" s="56">
        <f>'CALCOLO DEL VENTO'!E76</f>
        <v>0.02</v>
      </c>
      <c r="C7" s="1" t="s">
        <v>5</v>
      </c>
      <c r="I7" s="2"/>
      <c r="J7" s="6"/>
      <c r="K7" s="5"/>
      <c r="L7" s="5"/>
      <c r="M7" s="39">
        <f t="shared" ref="M7:M70" si="1">M6+1</f>
        <v>2</v>
      </c>
      <c r="N7" s="6"/>
      <c r="O7" s="1">
        <f t="shared" si="0"/>
        <v>3</v>
      </c>
      <c r="P7" s="4">
        <f>'dati nascosti'!$B$4/70*O7</f>
        <v>0.25714285714285712</v>
      </c>
      <c r="Q7" s="3">
        <f>IF(P7&lt;'dati nascosti'!$B$12,'dati nascosti'!$B$10^2*'dati nascosti'!$B$9*LN('dati nascosti'!$B$12/'dati nascosti'!$B$11)*(7+'dati nascosti'!$B$9*LN('dati nascosti'!$B$12/'dati nascosti'!$B$11)),'dati nascosti'!$B$10^2*'dati nascosti'!$B$9*LN(P7/'dati nascosti'!$B$11)*(7+'dati nascosti'!$B$9*LN(P7/'dati nascosti'!$B$11)))</f>
        <v>1.6342119731764906</v>
      </c>
      <c r="R7" s="2">
        <f>'dati nascosti'!$B$19*Q7*'dati nascosti'!$B$13*'dati nascosti'!$B$14/1000</f>
        <v>0.76986188880277173</v>
      </c>
      <c r="S7" s="2">
        <f>'dati nascosti'!$B$19*Q7*'dati nascosti'!$B$13*'dati nascosti'!$B$15/1000</f>
        <v>0.36953370662533047</v>
      </c>
      <c r="X7" s="66"/>
      <c r="Y7" s="130">
        <v>4</v>
      </c>
      <c r="Z7" s="130" t="str">
        <f>VLOOKUP(Z15,X26:AD29,IF('CALCOLO DEL VENTO'!F33&lt;=0,2,IF('CALCOLO DEL VENTO'!F33&lt;=10,3,IF('CALCOLO DEL VENTO'!F33&lt;=30,4,IF('CALCOLO DEL VENTO'!F32&lt;500,5,IF('CALCOLO DEL VENTO'!F32&lt;750,6,7))))),FALSE)</f>
        <v>IV</v>
      </c>
      <c r="AA7" s="66"/>
      <c r="AB7" s="66"/>
      <c r="AC7"/>
      <c r="AD7"/>
      <c r="AE7" s="158"/>
      <c r="AF7"/>
      <c r="AG7"/>
    </row>
    <row r="8" spans="1:33" ht="16.5" x14ac:dyDescent="0.25">
      <c r="A8" s="1" t="s">
        <v>4</v>
      </c>
      <c r="B8" s="56">
        <f>'CALCOLO DEL VENTO'!J171</f>
        <v>0</v>
      </c>
      <c r="C8" s="1" t="s">
        <v>2</v>
      </c>
      <c r="D8" s="282" t="s">
        <v>16</v>
      </c>
      <c r="E8" s="282"/>
      <c r="F8" s="282"/>
      <c r="G8" s="282"/>
      <c r="I8" s="2"/>
      <c r="J8" s="6"/>
      <c r="K8" s="5"/>
      <c r="L8" s="5"/>
      <c r="M8" s="39">
        <f t="shared" si="1"/>
        <v>3</v>
      </c>
      <c r="N8" s="6"/>
      <c r="O8" s="1">
        <f t="shared" si="0"/>
        <v>4</v>
      </c>
      <c r="P8" s="4">
        <f>'dati nascosti'!$B$4/70*O8</f>
        <v>0.34285714285714286</v>
      </c>
      <c r="Q8" s="3">
        <f>IF(P8&lt;'dati nascosti'!$B$12,'dati nascosti'!$B$10^2*'dati nascosti'!$B$9*LN('dati nascosti'!$B$12/'dati nascosti'!$B$11)*(7+'dati nascosti'!$B$9*LN('dati nascosti'!$B$12/'dati nascosti'!$B$11)),'dati nascosti'!$B$10^2*'dati nascosti'!$B$9*LN(P8/'dati nascosti'!$B$11)*(7+'dati nascosti'!$B$9*LN(P8/'dati nascosti'!$B$11)))</f>
        <v>1.6342119731764906</v>
      </c>
      <c r="R8" s="2">
        <f>'dati nascosti'!$B$19*Q8*'dati nascosti'!$B$13*'dati nascosti'!$B$14/1000</f>
        <v>0.76986188880277173</v>
      </c>
      <c r="S8" s="2">
        <f>'dati nascosti'!$B$19*Q8*'dati nascosti'!$B$13*'dati nascosti'!$B$15/1000</f>
        <v>0.36953370662533047</v>
      </c>
      <c r="X8" s="66"/>
      <c r="Y8" s="130">
        <v>5</v>
      </c>
      <c r="Z8" s="130" t="str">
        <f>VLOOKUP(Z15,X33:AD36,IF('CALCOLO DEL VENTO'!F33&lt;=0,2,IF('CALCOLO DEL VENTO'!F33&lt;=10,3,IF('CALCOLO DEL VENTO'!F33&lt;=30,4,IF('CALCOLO DEL VENTO'!F32&lt;500,5,IF('CALCOLO DEL VENTO'!F32&lt;750,6,7))))),FALSE)</f>
        <v>IV</v>
      </c>
      <c r="AA8" s="66"/>
      <c r="AB8" s="66"/>
      <c r="AC8"/>
      <c r="AD8"/>
      <c r="AE8" s="158"/>
      <c r="AF8"/>
      <c r="AG8"/>
    </row>
    <row r="9" spans="1:33" ht="16.5" x14ac:dyDescent="0.25">
      <c r="A9" s="8" t="s">
        <v>22</v>
      </c>
      <c r="B9" s="57">
        <v>1</v>
      </c>
      <c r="C9" s="9"/>
      <c r="I9" s="2"/>
      <c r="J9" s="6"/>
      <c r="K9" s="5"/>
      <c r="L9" s="5"/>
      <c r="M9" s="39">
        <f t="shared" si="1"/>
        <v>4</v>
      </c>
      <c r="N9" s="6"/>
      <c r="O9" s="1">
        <f t="shared" si="0"/>
        <v>5</v>
      </c>
      <c r="P9" s="4">
        <f>'dati nascosti'!$B$4/70*O9</f>
        <v>0.4285714285714286</v>
      </c>
      <c r="Q9" s="3">
        <f>IF(P9&lt;'dati nascosti'!$B$12,'dati nascosti'!$B$10^2*'dati nascosti'!$B$9*LN('dati nascosti'!$B$12/'dati nascosti'!$B$11)*(7+'dati nascosti'!$B$9*LN('dati nascosti'!$B$12/'dati nascosti'!$B$11)),'dati nascosti'!$B$10^2*'dati nascosti'!$B$9*LN(P9/'dati nascosti'!$B$11)*(7+'dati nascosti'!$B$9*LN(P9/'dati nascosti'!$B$11)))</f>
        <v>1.6342119731764906</v>
      </c>
      <c r="R9" s="2">
        <f>'dati nascosti'!$B$19*Q9*'dati nascosti'!$B$13*'dati nascosti'!$B$14/1000</f>
        <v>0.76986188880277173</v>
      </c>
      <c r="S9" s="2">
        <f>'dati nascosti'!$B$19*Q9*'dati nascosti'!$B$13*'dati nascosti'!$B$15/1000</f>
        <v>0.36953370662533047</v>
      </c>
      <c r="X9" s="66"/>
      <c r="Y9" s="130">
        <v>6</v>
      </c>
      <c r="Z9" s="130" t="str">
        <f>VLOOKUP(Z15,X40:AD43,IF('CALCOLO DEL VENTO'!F33&lt;=0,2,IF('CALCOLO DEL VENTO'!F33&lt;=10,3,IF('CALCOLO DEL VENTO'!F33&lt;=30,4,IF('CALCOLO DEL VENTO'!F32&lt;500,5,6)))),FALSE)</f>
        <v>IV</v>
      </c>
      <c r="AA9" s="66"/>
      <c r="AB9" s="66"/>
      <c r="AC9"/>
      <c r="AD9"/>
      <c r="AE9" s="158"/>
      <c r="AF9"/>
      <c r="AG9"/>
    </row>
    <row r="10" spans="1:33" ht="16.5" x14ac:dyDescent="0.25">
      <c r="A10" s="8" t="s">
        <v>23</v>
      </c>
      <c r="B10" s="58">
        <f>'CALCOLO DEL VENTO'!B173</f>
        <v>0.22</v>
      </c>
      <c r="C10" s="9"/>
      <c r="I10" s="2"/>
      <c r="J10" s="6"/>
      <c r="K10" s="5"/>
      <c r="L10" s="5"/>
      <c r="M10" s="39">
        <f t="shared" si="1"/>
        <v>5</v>
      </c>
      <c r="N10" s="6"/>
      <c r="O10" s="1">
        <f t="shared" si="0"/>
        <v>6</v>
      </c>
      <c r="P10" s="4">
        <f>'dati nascosti'!$B$4/70*O10</f>
        <v>0.51428571428571423</v>
      </c>
      <c r="Q10" s="3">
        <f>IF(P10&lt;'dati nascosti'!$B$12,'dati nascosti'!$B$10^2*'dati nascosti'!$B$9*LN('dati nascosti'!$B$12/'dati nascosti'!$B$11)*(7+'dati nascosti'!$B$9*LN('dati nascosti'!$B$12/'dati nascosti'!$B$11)),'dati nascosti'!$B$10^2*'dati nascosti'!$B$9*LN(P10/'dati nascosti'!$B$11)*(7+'dati nascosti'!$B$9*LN(P10/'dati nascosti'!$B$11)))</f>
        <v>1.6342119731764906</v>
      </c>
      <c r="R10" s="2">
        <f>'dati nascosti'!$B$19*Q10*'dati nascosti'!$B$13*'dati nascosti'!$B$14/1000</f>
        <v>0.76986188880277173</v>
      </c>
      <c r="S10" s="2">
        <f>'dati nascosti'!$B$19*Q10*'dati nascosti'!$B$13*'dati nascosti'!$B$15/1000</f>
        <v>0.36953370662533047</v>
      </c>
      <c r="X10"/>
      <c r="Y10" s="130">
        <v>7</v>
      </c>
      <c r="Z10" s="130" t="str">
        <f>VLOOKUP(Z15,X47:AD50,IF('CALCOLO DEL VENTO'!F33&lt;=0,IF('CALCOLO DEL VENTO'!F33&gt;=-0.5,3,2),4),FALSE)</f>
        <v>IV</v>
      </c>
      <c r="AA10" s="66"/>
      <c r="AB10" s="66"/>
      <c r="AC10"/>
      <c r="AD10"/>
      <c r="AE10" s="158"/>
      <c r="AF10"/>
      <c r="AG10"/>
    </row>
    <row r="11" spans="1:33" ht="16.5" x14ac:dyDescent="0.25">
      <c r="A11" s="8" t="s">
        <v>24</v>
      </c>
      <c r="B11" s="58">
        <f>'CALCOLO DEL VENTO'!C173</f>
        <v>0.3</v>
      </c>
      <c r="C11" s="1" t="s">
        <v>2</v>
      </c>
      <c r="I11" s="2"/>
      <c r="J11" s="6"/>
      <c r="K11" s="5"/>
      <c r="L11" s="5"/>
      <c r="M11" s="39">
        <f t="shared" si="1"/>
        <v>6</v>
      </c>
      <c r="N11" s="6"/>
      <c r="O11" s="1">
        <f t="shared" si="0"/>
        <v>7</v>
      </c>
      <c r="P11" s="4">
        <f>'dati nascosti'!$B$4/70*O11</f>
        <v>0.6</v>
      </c>
      <c r="Q11" s="3">
        <f>IF(P11&lt;'dati nascosti'!$B$12,'dati nascosti'!$B$10^2*'dati nascosti'!$B$9*LN('dati nascosti'!$B$12/'dati nascosti'!$B$11)*(7+'dati nascosti'!$B$9*LN('dati nascosti'!$B$12/'dati nascosti'!$B$11)),'dati nascosti'!$B$10^2*'dati nascosti'!$B$9*LN(P11/'dati nascosti'!$B$11)*(7+'dati nascosti'!$B$9*LN(P11/'dati nascosti'!$B$11)))</f>
        <v>1.6342119731764906</v>
      </c>
      <c r="R11" s="2">
        <f>'dati nascosti'!$B$19*Q11*'dati nascosti'!$B$13*'dati nascosti'!$B$14/1000</f>
        <v>0.76986188880277173</v>
      </c>
      <c r="S11" s="2">
        <f>'dati nascosti'!$B$19*Q11*'dati nascosti'!$B$13*'dati nascosti'!$B$15/1000</f>
        <v>0.36953370662533047</v>
      </c>
      <c r="X11"/>
      <c r="Y11" s="130">
        <v>8</v>
      </c>
      <c r="Z11" s="130" t="str">
        <f>VLOOKUP(Z15,X54:AD57,IF('CALCOLO DEL VENTO'!F33&lt;=0,IF('CALCOLO DEL VENTO'!F33&gt;=-0.5,3,2),4),FALSE)</f>
        <v>IV</v>
      </c>
      <c r="AA11" s="66"/>
      <c r="AB11" s="66"/>
      <c r="AC11"/>
      <c r="AD11"/>
      <c r="AE11" s="158"/>
      <c r="AF11"/>
      <c r="AG11"/>
    </row>
    <row r="12" spans="1:33" ht="16.5" x14ac:dyDescent="0.25">
      <c r="A12" s="8" t="s">
        <v>25</v>
      </c>
      <c r="B12" s="58">
        <f>'CALCOLO DEL VENTO'!D173</f>
        <v>8</v>
      </c>
      <c r="C12" s="1" t="s">
        <v>2</v>
      </c>
      <c r="H12" s="8"/>
      <c r="I12" s="2"/>
      <c r="J12" s="6"/>
      <c r="K12" s="5"/>
      <c r="L12" s="5"/>
      <c r="M12" s="39">
        <f t="shared" si="1"/>
        <v>7</v>
      </c>
      <c r="N12" s="6"/>
      <c r="O12" s="1">
        <f t="shared" si="0"/>
        <v>8</v>
      </c>
      <c r="P12" s="4">
        <f>'dati nascosti'!$B$4/70*O12</f>
        <v>0.68571428571428572</v>
      </c>
      <c r="Q12" s="3">
        <f>IF(P12&lt;'dati nascosti'!$B$12,'dati nascosti'!$B$10^2*'dati nascosti'!$B$9*LN('dati nascosti'!$B$12/'dati nascosti'!$B$11)*(7+'dati nascosti'!$B$9*LN('dati nascosti'!$B$12/'dati nascosti'!$B$11)),'dati nascosti'!$B$10^2*'dati nascosti'!$B$9*LN(P12/'dati nascosti'!$B$11)*(7+'dati nascosti'!$B$9*LN(P12/'dati nascosti'!$B$11)))</f>
        <v>1.6342119731764906</v>
      </c>
      <c r="R12" s="2">
        <f>'dati nascosti'!$B$19*Q12*'dati nascosti'!$B$13*'dati nascosti'!$B$14/1000</f>
        <v>0.76986188880277173</v>
      </c>
      <c r="S12" s="2">
        <f>'dati nascosti'!$B$19*Q12*'dati nascosti'!$B$13*'dati nascosti'!$B$15/1000</f>
        <v>0.36953370662533047</v>
      </c>
      <c r="X12" s="66"/>
      <c r="Y12" s="130">
        <v>9</v>
      </c>
      <c r="Z12" s="130" t="str">
        <f>VLOOKUP(Z15,X61:AD64,IF('CALCOLO DEL VENTO'!F33&lt;=0,2,3),FALSE)</f>
        <v>I</v>
      </c>
      <c r="AA12" s="66"/>
      <c r="AB12" s="66"/>
      <c r="AC12"/>
      <c r="AD12"/>
      <c r="AE12" s="158"/>
      <c r="AF12"/>
      <c r="AG12"/>
    </row>
    <row r="13" spans="1:33" ht="16.5" x14ac:dyDescent="0.25">
      <c r="A13" s="8" t="s">
        <v>26</v>
      </c>
      <c r="B13" s="57">
        <f>'CALCOLO DEL VENTO'!H95</f>
        <v>0.96</v>
      </c>
      <c r="C13" s="9"/>
      <c r="H13" s="8"/>
      <c r="I13" s="2"/>
      <c r="J13" s="6"/>
      <c r="K13" s="5"/>
      <c r="L13" s="5"/>
      <c r="M13" s="39">
        <f t="shared" si="1"/>
        <v>8</v>
      </c>
      <c r="N13" s="6"/>
      <c r="O13" s="1">
        <f t="shared" si="0"/>
        <v>9</v>
      </c>
      <c r="P13" s="4">
        <f>'dati nascosti'!$B$4/70*O13</f>
        <v>0.77142857142857146</v>
      </c>
      <c r="Q13" s="3">
        <f>IF(P13&lt;'dati nascosti'!$B$12,'dati nascosti'!$B$10^2*'dati nascosti'!$B$9*LN('dati nascosti'!$B$12/'dati nascosti'!$B$11)*(7+'dati nascosti'!$B$9*LN('dati nascosti'!$B$12/'dati nascosti'!$B$11)),'dati nascosti'!$B$10^2*'dati nascosti'!$B$9*LN(P13/'dati nascosti'!$B$11)*(7+'dati nascosti'!$B$9*LN(P13/'dati nascosti'!$B$11)))</f>
        <v>1.6342119731764906</v>
      </c>
      <c r="R13" s="2">
        <f>'dati nascosti'!$B$19*Q13*'dati nascosti'!$B$13*'dati nascosti'!$B$14/1000</f>
        <v>0.76986188880277173</v>
      </c>
      <c r="S13" s="2">
        <f>'dati nascosti'!$B$19*Q13*'dati nascosti'!$B$13*'dati nascosti'!$B$15/1000</f>
        <v>0.36953370662533047</v>
      </c>
      <c r="X13" s="66"/>
      <c r="Y13" s="66"/>
      <c r="Z13" s="66"/>
      <c r="AA13" s="66"/>
      <c r="AB13" s="66"/>
      <c r="AC13"/>
      <c r="AD13"/>
      <c r="AE13" s="158"/>
      <c r="AF13"/>
      <c r="AG13"/>
    </row>
    <row r="14" spans="1:33" ht="16.5" x14ac:dyDescent="0.25">
      <c r="A14" s="8" t="s">
        <v>27</v>
      </c>
      <c r="B14" s="58">
        <f>'CALCOLO DEL VENTO'!G258</f>
        <v>1</v>
      </c>
      <c r="C14" s="9" t="s">
        <v>135</v>
      </c>
      <c r="H14" s="8"/>
      <c r="I14" s="2"/>
      <c r="J14" s="6"/>
      <c r="K14" s="5"/>
      <c r="L14" s="5"/>
      <c r="M14" s="39">
        <f t="shared" si="1"/>
        <v>9</v>
      </c>
      <c r="N14" s="6"/>
      <c r="O14" s="1">
        <f t="shared" si="0"/>
        <v>10</v>
      </c>
      <c r="P14" s="4">
        <f>'dati nascosti'!$B$4/70*O14</f>
        <v>0.85714285714285721</v>
      </c>
      <c r="Q14" s="3">
        <f>IF(P14&lt;'dati nascosti'!$B$12,'dati nascosti'!$B$10^2*'dati nascosti'!$B$9*LN('dati nascosti'!$B$12/'dati nascosti'!$B$11)*(7+'dati nascosti'!$B$9*LN('dati nascosti'!$B$12/'dati nascosti'!$B$11)),'dati nascosti'!$B$10^2*'dati nascosti'!$B$9*LN(P14/'dati nascosti'!$B$11)*(7+'dati nascosti'!$B$9*LN(P14/'dati nascosti'!$B$11)))</f>
        <v>1.6342119731764906</v>
      </c>
      <c r="R14" s="2">
        <f>'dati nascosti'!$B$19*Q14*'dati nascosti'!$B$13*'dati nascosti'!$B$14/1000</f>
        <v>0.76986188880277173</v>
      </c>
      <c r="S14" s="2">
        <f>'dati nascosti'!$B$19*Q14*'dati nascosti'!$B$13*'dati nascosti'!$B$15/1000</f>
        <v>0.36953370662533047</v>
      </c>
      <c r="X14"/>
      <c r="Y14" s="66"/>
      <c r="Z14" s="66"/>
      <c r="AA14" s="66"/>
      <c r="AB14" s="66"/>
      <c r="AC14"/>
      <c r="AD14"/>
      <c r="AE14" s="158"/>
      <c r="AF14"/>
      <c r="AG14"/>
    </row>
    <row r="15" spans="1:33" ht="16.5" x14ac:dyDescent="0.25">
      <c r="A15" s="8" t="s">
        <v>27</v>
      </c>
      <c r="B15" s="56">
        <f>'CALCOLO DEL VENTO'!G259</f>
        <v>0.48000000000000004</v>
      </c>
      <c r="C15" s="55" t="s">
        <v>136</v>
      </c>
      <c r="H15" s="8"/>
      <c r="I15" s="2"/>
      <c r="J15" s="6"/>
      <c r="K15" s="5"/>
      <c r="L15" s="5"/>
      <c r="M15" s="39">
        <f t="shared" si="1"/>
        <v>10</v>
      </c>
      <c r="N15" s="6"/>
      <c r="O15" s="1">
        <f t="shared" si="0"/>
        <v>11</v>
      </c>
      <c r="P15" s="4">
        <f>'dati nascosti'!$B$4/70*O15</f>
        <v>0.94285714285714284</v>
      </c>
      <c r="Q15" s="3">
        <f>IF(P15&lt;'dati nascosti'!$B$12,'dati nascosti'!$B$10^2*'dati nascosti'!$B$9*LN('dati nascosti'!$B$12/'dati nascosti'!$B$11)*(7+'dati nascosti'!$B$9*LN('dati nascosti'!$B$12/'dati nascosti'!$B$11)),'dati nascosti'!$B$10^2*'dati nascosti'!$B$9*LN(P15/'dati nascosti'!$B$11)*(7+'dati nascosti'!$B$9*LN(P15/'dati nascosti'!$B$11)))</f>
        <v>1.6342119731764906</v>
      </c>
      <c r="R15" s="2">
        <f>'dati nascosti'!$B$19*Q15*'dati nascosti'!$B$13*'dati nascosti'!$B$14/1000</f>
        <v>0.76986188880277173</v>
      </c>
      <c r="S15" s="2">
        <f>'dati nascosti'!$B$19*Q15*'dati nascosti'!$B$13*'dati nascosti'!$B$15/1000</f>
        <v>0.36953370662533047</v>
      </c>
      <c r="X15" s="66"/>
      <c r="Y15" s="159">
        <f>VLOOKUP('CALCOLO DEL VENTO'!B6,'DATI NTC'!B4:C12,2,FALSE)</f>
        <v>4</v>
      </c>
      <c r="Z15" s="159" t="str">
        <f>VLOOKUP('CALCOLO DEL VENTO'!B21,'DATI NTC'!B15:F18,2,FALSE)</f>
        <v>A</v>
      </c>
      <c r="AA15"/>
      <c r="AB15"/>
      <c r="AC15"/>
      <c r="AD15"/>
      <c r="AE15" s="158"/>
      <c r="AF15"/>
      <c r="AG15"/>
    </row>
    <row r="16" spans="1:33" ht="15.75" x14ac:dyDescent="0.25">
      <c r="B16" s="15" t="s">
        <v>32</v>
      </c>
      <c r="H16" s="7"/>
      <c r="I16" s="2"/>
      <c r="J16" s="6"/>
      <c r="K16" s="5"/>
      <c r="L16" s="5"/>
      <c r="M16" s="39">
        <f t="shared" si="1"/>
        <v>11</v>
      </c>
      <c r="N16" s="6"/>
      <c r="O16" s="1">
        <f t="shared" si="0"/>
        <v>12</v>
      </c>
      <c r="P16" s="4">
        <f>'dati nascosti'!$B$4/70*O16</f>
        <v>1.0285714285714285</v>
      </c>
      <c r="Q16" s="3">
        <f>IF(P16&lt;'dati nascosti'!$B$12,'dati nascosti'!$B$10^2*'dati nascosti'!$B$9*LN('dati nascosti'!$B$12/'dati nascosti'!$B$11)*(7+'dati nascosti'!$B$9*LN('dati nascosti'!$B$12/'dati nascosti'!$B$11)),'dati nascosti'!$B$10^2*'dati nascosti'!$B$9*LN(P16/'dati nascosti'!$B$11)*(7+'dati nascosti'!$B$9*LN(P16/'dati nascosti'!$B$11)))</f>
        <v>1.6342119731764906</v>
      </c>
      <c r="R16" s="2">
        <f>'dati nascosti'!$B$19*Q16*'dati nascosti'!$B$13*'dati nascosti'!$B$14/1000</f>
        <v>0.76986188880277173</v>
      </c>
      <c r="S16" s="2">
        <f>'dati nascosti'!$B$19*Q16*'dati nascosti'!$B$13*'dati nascosti'!$B$15/1000</f>
        <v>0.36953370662533047</v>
      </c>
      <c r="X16"/>
      <c r="Y16" s="276" t="s">
        <v>165</v>
      </c>
      <c r="Z16" s="276"/>
      <c r="AA16" s="276"/>
      <c r="AB16" s="276"/>
      <c r="AC16" s="276"/>
      <c r="AD16" s="276"/>
      <c r="AE16" s="158"/>
      <c r="AF16"/>
      <c r="AG16"/>
    </row>
    <row r="17" spans="1:33" x14ac:dyDescent="0.25">
      <c r="H17" s="8"/>
      <c r="I17" s="2"/>
      <c r="J17" s="6"/>
      <c r="K17" s="5"/>
      <c r="L17" s="5"/>
      <c r="M17" s="39">
        <f t="shared" si="1"/>
        <v>12</v>
      </c>
      <c r="N17" s="6"/>
      <c r="O17" s="1">
        <f t="shared" si="0"/>
        <v>13</v>
      </c>
      <c r="P17" s="4">
        <f>'dati nascosti'!$B$4/70*O17</f>
        <v>1.1142857142857143</v>
      </c>
      <c r="Q17" s="3">
        <f>IF(P17&lt;'dati nascosti'!$B$12,'dati nascosti'!$B$10^2*'dati nascosti'!$B$9*LN('dati nascosti'!$B$12/'dati nascosti'!$B$11)*(7+'dati nascosti'!$B$9*LN('dati nascosti'!$B$12/'dati nascosti'!$B$11)),'dati nascosti'!$B$10^2*'dati nascosti'!$B$9*LN(P17/'dati nascosti'!$B$11)*(7+'dati nascosti'!$B$9*LN(P17/'dati nascosti'!$B$11)))</f>
        <v>1.6342119731764906</v>
      </c>
      <c r="R17" s="2">
        <f>'dati nascosti'!$B$19*Q17*'dati nascosti'!$B$13*'dati nascosti'!$B$14/1000</f>
        <v>0.76986188880277173</v>
      </c>
      <c r="S17" s="2">
        <f>'dati nascosti'!$B$19*Q17*'dati nascosti'!$B$13*'dati nascosti'!$B$15/1000</f>
        <v>0.36953370662533047</v>
      </c>
      <c r="X17" s="66"/>
      <c r="Y17" s="160" t="s">
        <v>166</v>
      </c>
      <c r="Z17" s="277" t="s">
        <v>167</v>
      </c>
      <c r="AA17" s="278"/>
      <c r="AB17" s="276" t="s">
        <v>168</v>
      </c>
      <c r="AC17" s="276"/>
      <c r="AD17" s="276"/>
      <c r="AE17" s="158"/>
      <c r="AF17"/>
      <c r="AG17"/>
    </row>
    <row r="18" spans="1:33" ht="17.25" x14ac:dyDescent="0.25">
      <c r="A18" s="10" t="s">
        <v>19</v>
      </c>
      <c r="B18" s="13">
        <f>'CALCOLO DEL VENTO'!E81</f>
        <v>28.020545848179701</v>
      </c>
      <c r="C18" s="11" t="s">
        <v>9</v>
      </c>
      <c r="D18" s="283" t="s">
        <v>18</v>
      </c>
      <c r="E18" s="283"/>
      <c r="F18" s="283"/>
      <c r="G18" s="283"/>
      <c r="H18" s="8"/>
      <c r="I18" s="2"/>
      <c r="J18" s="6"/>
      <c r="K18" s="5"/>
      <c r="L18" s="5"/>
      <c r="M18" s="39">
        <f t="shared" si="1"/>
        <v>13</v>
      </c>
      <c r="N18" s="6"/>
      <c r="O18" s="1">
        <f t="shared" si="0"/>
        <v>14</v>
      </c>
      <c r="P18" s="4">
        <f>'dati nascosti'!$B$4/70*O18</f>
        <v>1.2</v>
      </c>
      <c r="Q18" s="3">
        <f>IF(P18&lt;'dati nascosti'!$B$12,'dati nascosti'!$B$10^2*'dati nascosti'!$B$9*LN('dati nascosti'!$B$12/'dati nascosti'!$B$11)*(7+'dati nascosti'!$B$9*LN('dati nascosti'!$B$12/'dati nascosti'!$B$11)),'dati nascosti'!$B$10^2*'dati nascosti'!$B$9*LN(P18/'dati nascosti'!$B$11)*(7+'dati nascosti'!$B$9*LN(P18/'dati nascosti'!$B$11)))</f>
        <v>1.6342119731764906</v>
      </c>
      <c r="R18" s="2">
        <f>'dati nascosti'!$B$19*Q18*'dati nascosti'!$B$13*'dati nascosti'!$B$14/1000</f>
        <v>0.76986188880277173</v>
      </c>
      <c r="S18" s="2">
        <f>'dati nascosti'!$B$19*Q18*'dati nascosti'!$B$13*'dati nascosti'!$B$15/1000</f>
        <v>0.36953370662533047</v>
      </c>
      <c r="X18" s="66"/>
      <c r="Y18" s="130">
        <v>2</v>
      </c>
      <c r="Z18" s="161">
        <v>10</v>
      </c>
      <c r="AA18" s="161">
        <v>30</v>
      </c>
      <c r="AB18" s="130">
        <v>500</v>
      </c>
      <c r="AC18" s="162">
        <v>750</v>
      </c>
      <c r="AD18" s="162">
        <v>10000</v>
      </c>
      <c r="AE18" s="158"/>
      <c r="AF18"/>
      <c r="AG18"/>
    </row>
    <row r="19" spans="1:33" ht="17.25" x14ac:dyDescent="0.25">
      <c r="A19" s="12" t="s">
        <v>20</v>
      </c>
      <c r="B19" s="14">
        <f>1/2*1.25*B18^2</f>
        <v>490.71936851871294</v>
      </c>
      <c r="C19" s="12" t="s">
        <v>21</v>
      </c>
      <c r="D19" s="283" t="s">
        <v>3</v>
      </c>
      <c r="E19" s="283"/>
      <c r="F19" s="283"/>
      <c r="G19" s="283"/>
      <c r="H19" s="8"/>
      <c r="I19" s="2"/>
      <c r="J19" s="6"/>
      <c r="K19" s="5"/>
      <c r="L19" s="5"/>
      <c r="M19" s="39">
        <f t="shared" si="1"/>
        <v>14</v>
      </c>
      <c r="N19" s="6"/>
      <c r="O19" s="1">
        <f t="shared" si="0"/>
        <v>15</v>
      </c>
      <c r="P19" s="4">
        <f>'dati nascosti'!$B$4/70*O19</f>
        <v>1.2857142857142858</v>
      </c>
      <c r="Q19" s="3">
        <f>IF(P19&lt;'dati nascosti'!$B$12,'dati nascosti'!$B$10^2*'dati nascosti'!$B$9*LN('dati nascosti'!$B$12/'dati nascosti'!$B$11)*(7+'dati nascosti'!$B$9*LN('dati nascosti'!$B$12/'dati nascosti'!$B$11)),'dati nascosti'!$B$10^2*'dati nascosti'!$B$9*LN(P19/'dati nascosti'!$B$11)*(7+'dati nascosti'!$B$9*LN(P19/'dati nascosti'!$B$11)))</f>
        <v>1.6342119731764906</v>
      </c>
      <c r="R19" s="2">
        <f>'dati nascosti'!$B$19*Q19*'dati nascosti'!$B$13*'dati nascosti'!$B$14/1000</f>
        <v>0.76986188880277173</v>
      </c>
      <c r="S19" s="2">
        <f>'dati nascosti'!$B$19*Q19*'dati nascosti'!$B$13*'dati nascosti'!$B$15/1000</f>
        <v>0.36953370662533047</v>
      </c>
      <c r="X19" s="130" t="s">
        <v>51</v>
      </c>
      <c r="Y19" s="163" t="s">
        <v>169</v>
      </c>
      <c r="Z19" s="159" t="s">
        <v>65</v>
      </c>
      <c r="AA19" s="159" t="s">
        <v>65</v>
      </c>
      <c r="AB19" s="159" t="s">
        <v>66</v>
      </c>
      <c r="AC19" s="164" t="s">
        <v>66</v>
      </c>
      <c r="AD19" s="164" t="s">
        <v>66</v>
      </c>
      <c r="AE19" s="158"/>
      <c r="AF19"/>
      <c r="AG19"/>
    </row>
    <row r="20" spans="1:33" ht="17.25" x14ac:dyDescent="0.25">
      <c r="A20" s="12" t="s">
        <v>12</v>
      </c>
      <c r="B20" s="14">
        <f>B10^2*B9*LN(B12/B11)*(7+B9*LN(B12/B11))</f>
        <v>1.6342119731764906</v>
      </c>
      <c r="C20" s="11"/>
      <c r="D20" s="283" t="s">
        <v>28</v>
      </c>
      <c r="E20" s="283"/>
      <c r="F20" s="283"/>
      <c r="G20" s="283"/>
      <c r="H20" s="8"/>
      <c r="I20" s="2"/>
      <c r="J20" s="6"/>
      <c r="K20" s="5"/>
      <c r="L20" s="5"/>
      <c r="M20" s="39">
        <f t="shared" si="1"/>
        <v>15</v>
      </c>
      <c r="N20" s="6"/>
      <c r="O20" s="1">
        <f t="shared" si="0"/>
        <v>16</v>
      </c>
      <c r="P20" s="4">
        <f>'dati nascosti'!$B$4/70*O20</f>
        <v>1.3714285714285714</v>
      </c>
      <c r="Q20" s="3">
        <f>IF(P20&lt;'dati nascosti'!$B$12,'dati nascosti'!$B$10^2*'dati nascosti'!$B$9*LN('dati nascosti'!$B$12/'dati nascosti'!$B$11)*(7+'dati nascosti'!$B$9*LN('dati nascosti'!$B$12/'dati nascosti'!$B$11)),'dati nascosti'!$B$10^2*'dati nascosti'!$B$9*LN(P20/'dati nascosti'!$B$11)*(7+'dati nascosti'!$B$9*LN(P20/'dati nascosti'!$B$11)))</f>
        <v>1.6342119731764906</v>
      </c>
      <c r="R20" s="2">
        <f>'dati nascosti'!$B$19*Q20*'dati nascosti'!$B$13*'dati nascosti'!$B$14/1000</f>
        <v>0.76986188880277173</v>
      </c>
      <c r="S20" s="2">
        <f>'dati nascosti'!$B$19*Q20*'dati nascosti'!$B$13*'dati nascosti'!$B$15/1000</f>
        <v>0.36953370662533047</v>
      </c>
      <c r="X20" s="130" t="s">
        <v>53</v>
      </c>
      <c r="Y20" s="163" t="s">
        <v>169</v>
      </c>
      <c r="Z20" s="159" t="s">
        <v>64</v>
      </c>
      <c r="AA20" s="159" t="s">
        <v>64</v>
      </c>
      <c r="AB20" s="159" t="s">
        <v>65</v>
      </c>
      <c r="AC20" s="164" t="s">
        <v>65</v>
      </c>
      <c r="AD20" s="164" t="s">
        <v>65</v>
      </c>
      <c r="AE20" s="158"/>
      <c r="AF20"/>
      <c r="AG20"/>
    </row>
    <row r="21" spans="1:33" ht="17.25" x14ac:dyDescent="0.25">
      <c r="A21" s="12" t="s">
        <v>13</v>
      </c>
      <c r="B21" s="14">
        <f>B10^2*B9*LN(B4/B11)*(7+B9*LN(B4/B11))</f>
        <v>1.4493156280530395</v>
      </c>
      <c r="C21" s="11"/>
      <c r="D21" s="283" t="s">
        <v>29</v>
      </c>
      <c r="E21" s="283"/>
      <c r="F21" s="283"/>
      <c r="G21" s="283"/>
      <c r="H21" s="8"/>
      <c r="I21" s="2"/>
      <c r="J21" s="6"/>
      <c r="K21" s="5"/>
      <c r="L21" s="5"/>
      <c r="M21" s="39">
        <f t="shared" si="1"/>
        <v>16</v>
      </c>
      <c r="N21" s="6"/>
      <c r="O21" s="1">
        <f t="shared" si="0"/>
        <v>17</v>
      </c>
      <c r="P21" s="4">
        <f>'dati nascosti'!$B$4/70*O21</f>
        <v>1.4571428571428571</v>
      </c>
      <c r="Q21" s="3">
        <f>IF(P21&lt;'dati nascosti'!$B$12,'dati nascosti'!$B$10^2*'dati nascosti'!$B$9*LN('dati nascosti'!$B$12/'dati nascosti'!$B$11)*(7+'dati nascosti'!$B$9*LN('dati nascosti'!$B$12/'dati nascosti'!$B$11)),'dati nascosti'!$B$10^2*'dati nascosti'!$B$9*LN(P21/'dati nascosti'!$B$11)*(7+'dati nascosti'!$B$9*LN(P21/'dati nascosti'!$B$11)))</f>
        <v>1.6342119731764906</v>
      </c>
      <c r="R21" s="2">
        <f>'dati nascosti'!$B$19*Q21*'dati nascosti'!$B$13*'dati nascosti'!$B$14/1000</f>
        <v>0.76986188880277173</v>
      </c>
      <c r="S21" s="2">
        <f>'dati nascosti'!$B$19*Q21*'dati nascosti'!$B$13*'dati nascosti'!$B$15/1000</f>
        <v>0.36953370662533047</v>
      </c>
      <c r="X21" s="130" t="s">
        <v>55</v>
      </c>
      <c r="Y21" s="163" t="s">
        <v>169</v>
      </c>
      <c r="Z21" s="159" t="s">
        <v>63</v>
      </c>
      <c r="AA21" s="159" t="s">
        <v>64</v>
      </c>
      <c r="AB21" s="159" t="s">
        <v>64</v>
      </c>
      <c r="AC21" s="164" t="s">
        <v>65</v>
      </c>
      <c r="AD21" s="164" t="s">
        <v>65</v>
      </c>
      <c r="AE21" s="158"/>
      <c r="AF21"/>
      <c r="AG21"/>
    </row>
    <row r="22" spans="1:33" ht="16.5" x14ac:dyDescent="0.25">
      <c r="A22" s="12" t="s">
        <v>1</v>
      </c>
      <c r="B22" s="14">
        <f>B19*B20*B13*B14/1000</f>
        <v>0.76986188880277173</v>
      </c>
      <c r="C22" s="12" t="s">
        <v>0</v>
      </c>
      <c r="D22" s="283" t="s">
        <v>30</v>
      </c>
      <c r="E22" s="283"/>
      <c r="F22" s="283"/>
      <c r="G22" s="283"/>
      <c r="I22" s="2"/>
      <c r="J22" s="6"/>
      <c r="K22" s="5"/>
      <c r="L22" s="5"/>
      <c r="M22" s="39">
        <f t="shared" si="1"/>
        <v>17</v>
      </c>
      <c r="N22" s="6"/>
      <c r="O22" s="1">
        <f t="shared" si="0"/>
        <v>18</v>
      </c>
      <c r="P22" s="4">
        <f>'dati nascosti'!$B$4/70*O22</f>
        <v>1.5428571428571429</v>
      </c>
      <c r="Q22" s="3">
        <f>IF(P22&lt;'dati nascosti'!$B$12,'dati nascosti'!$B$10^2*'dati nascosti'!$B$9*LN('dati nascosti'!$B$12/'dati nascosti'!$B$11)*(7+'dati nascosti'!$B$9*LN('dati nascosti'!$B$12/'dati nascosti'!$B$11)),'dati nascosti'!$B$10^2*'dati nascosti'!$B$9*LN(P22/'dati nascosti'!$B$11)*(7+'dati nascosti'!$B$9*LN(P22/'dati nascosti'!$B$11)))</f>
        <v>1.6342119731764906</v>
      </c>
      <c r="R22" s="2">
        <f>'dati nascosti'!$B$19*Q22*'dati nascosti'!$B$13*'dati nascosti'!$B$14/1000</f>
        <v>0.76986188880277173</v>
      </c>
      <c r="S22" s="2">
        <f>'dati nascosti'!$B$19*Q22*'dati nascosti'!$B$13*'dati nascosti'!$B$15/1000</f>
        <v>0.36953370662533047</v>
      </c>
      <c r="X22" s="130" t="s">
        <v>57</v>
      </c>
      <c r="Y22" s="163" t="s">
        <v>62</v>
      </c>
      <c r="Z22" s="159" t="s">
        <v>63</v>
      </c>
      <c r="AA22" s="159" t="s">
        <v>63</v>
      </c>
      <c r="AB22" s="159" t="s">
        <v>63</v>
      </c>
      <c r="AC22" s="164" t="s">
        <v>64</v>
      </c>
      <c r="AD22" s="164" t="s">
        <v>65</v>
      </c>
      <c r="AE22" s="158"/>
      <c r="AF22"/>
      <c r="AG22"/>
    </row>
    <row r="23" spans="1:33" ht="16.5" x14ac:dyDescent="0.25">
      <c r="A23" s="12" t="s">
        <v>1</v>
      </c>
      <c r="B23" s="14">
        <f>'dati nascosti'!R74</f>
        <v>0.76986188880277173</v>
      </c>
      <c r="C23" s="12" t="s">
        <v>0</v>
      </c>
      <c r="D23" s="283" t="s">
        <v>31</v>
      </c>
      <c r="E23" s="283"/>
      <c r="F23" s="283"/>
      <c r="G23" s="283"/>
      <c r="H23" s="7"/>
      <c r="I23" s="2"/>
      <c r="J23" s="6"/>
      <c r="K23" s="5"/>
      <c r="L23" s="5"/>
      <c r="M23" s="39">
        <f t="shared" si="1"/>
        <v>18</v>
      </c>
      <c r="N23" s="6"/>
      <c r="O23" s="1">
        <f t="shared" si="0"/>
        <v>19</v>
      </c>
      <c r="P23" s="4">
        <f>'dati nascosti'!$B$4/70*O23</f>
        <v>1.6285714285714286</v>
      </c>
      <c r="Q23" s="3">
        <f>IF(P23&lt;'dati nascosti'!$B$12,'dati nascosti'!$B$10^2*'dati nascosti'!$B$9*LN('dati nascosti'!$B$12/'dati nascosti'!$B$11)*(7+'dati nascosti'!$B$9*LN('dati nascosti'!$B$12/'dati nascosti'!$B$11)),'dati nascosti'!$B$10^2*'dati nascosti'!$B$9*LN(P23/'dati nascosti'!$B$11)*(7+'dati nascosti'!$B$9*LN(P23/'dati nascosti'!$B$11)))</f>
        <v>1.6342119731764906</v>
      </c>
      <c r="R23" s="2">
        <f>'dati nascosti'!$B$19*Q23*'dati nascosti'!$B$13*'dati nascosti'!$B$14/1000</f>
        <v>0.76986188880277173</v>
      </c>
      <c r="S23" s="2">
        <f>'dati nascosti'!$B$19*Q23*'dati nascosti'!$B$13*'dati nascosti'!$B$15/1000</f>
        <v>0.36953370662533047</v>
      </c>
      <c r="X23"/>
      <c r="Y23" s="276" t="s">
        <v>170</v>
      </c>
      <c r="Z23" s="276"/>
      <c r="AA23" s="276"/>
      <c r="AB23" s="276"/>
      <c r="AC23" s="276"/>
      <c r="AD23" s="276"/>
      <c r="AE23" s="158"/>
      <c r="AF23"/>
      <c r="AG23"/>
    </row>
    <row r="24" spans="1:33" x14ac:dyDescent="0.25">
      <c r="A24" s="9"/>
      <c r="B24" s="9"/>
      <c r="C24" s="9"/>
      <c r="D24" s="9"/>
      <c r="I24" s="2"/>
      <c r="J24" s="6"/>
      <c r="K24" s="5"/>
      <c r="L24" s="5"/>
      <c r="M24" s="39">
        <f t="shared" si="1"/>
        <v>19</v>
      </c>
      <c r="N24" s="6"/>
      <c r="O24" s="1">
        <f t="shared" si="0"/>
        <v>20</v>
      </c>
      <c r="P24" s="4">
        <f>'dati nascosti'!$B$4/70*O24</f>
        <v>1.7142857142857144</v>
      </c>
      <c r="Q24" s="3">
        <f>IF(P24&lt;'dati nascosti'!$B$12,'dati nascosti'!$B$10^2*'dati nascosti'!$B$9*LN('dati nascosti'!$B$12/'dati nascosti'!$B$11)*(7+'dati nascosti'!$B$9*LN('dati nascosti'!$B$12/'dati nascosti'!$B$11)),'dati nascosti'!$B$10^2*'dati nascosti'!$B$9*LN(P24/'dati nascosti'!$B$11)*(7+'dati nascosti'!$B$9*LN(P24/'dati nascosti'!$B$11)))</f>
        <v>1.6342119731764906</v>
      </c>
      <c r="R24" s="2">
        <f>'dati nascosti'!$B$19*Q24*'dati nascosti'!$B$13*'dati nascosti'!$B$14/1000</f>
        <v>0.76986188880277173</v>
      </c>
      <c r="S24" s="2">
        <f>'dati nascosti'!$B$19*Q24*'dati nascosti'!$B$13*'dati nascosti'!$B$15/1000</f>
        <v>0.36953370662533047</v>
      </c>
      <c r="X24" s="66"/>
      <c r="Y24" s="160" t="s">
        <v>166</v>
      </c>
      <c r="Z24" s="279" t="s">
        <v>167</v>
      </c>
      <c r="AA24" s="280"/>
      <c r="AB24" s="276" t="s">
        <v>168</v>
      </c>
      <c r="AC24" s="276"/>
      <c r="AD24" s="276"/>
      <c r="AE24" s="158"/>
      <c r="AF24"/>
      <c r="AG24"/>
    </row>
    <row r="25" spans="1:33" x14ac:dyDescent="0.25">
      <c r="I25" s="2"/>
      <c r="J25" s="6"/>
      <c r="K25" s="5"/>
      <c r="L25" s="5"/>
      <c r="M25" s="39">
        <f t="shared" si="1"/>
        <v>20</v>
      </c>
      <c r="N25" s="6"/>
      <c r="O25" s="1">
        <f t="shared" si="0"/>
        <v>21</v>
      </c>
      <c r="P25" s="4">
        <f>'dati nascosti'!$B$4/70*O25</f>
        <v>1.8</v>
      </c>
      <c r="Q25" s="3">
        <f>IF(P25&lt;'dati nascosti'!$B$12,'dati nascosti'!$B$10^2*'dati nascosti'!$B$9*LN('dati nascosti'!$B$12/'dati nascosti'!$B$11)*(7+'dati nascosti'!$B$9*LN('dati nascosti'!$B$12/'dati nascosti'!$B$11)),'dati nascosti'!$B$10^2*'dati nascosti'!$B$9*LN(P25/'dati nascosti'!$B$11)*(7+'dati nascosti'!$B$9*LN(P25/'dati nascosti'!$B$11)))</f>
        <v>1.6342119731764906</v>
      </c>
      <c r="R25" s="2">
        <f>'dati nascosti'!$B$19*Q25*'dati nascosti'!$B$13*'dati nascosti'!$B$14/1000</f>
        <v>0.76986188880277173</v>
      </c>
      <c r="S25" s="2">
        <f>'dati nascosti'!$B$19*Q25*'dati nascosti'!$B$13*'dati nascosti'!$B$15/1000</f>
        <v>0.36953370662533047</v>
      </c>
      <c r="X25" s="66"/>
      <c r="Y25" s="130">
        <v>2</v>
      </c>
      <c r="Z25" s="161">
        <v>10</v>
      </c>
      <c r="AA25" s="161">
        <v>30</v>
      </c>
      <c r="AB25" s="130">
        <v>500</v>
      </c>
      <c r="AC25" s="162">
        <v>750</v>
      </c>
      <c r="AD25" s="162">
        <v>10000</v>
      </c>
      <c r="AE25" s="158"/>
      <c r="AF25"/>
      <c r="AG25"/>
    </row>
    <row r="26" spans="1:33" x14ac:dyDescent="0.25">
      <c r="I26" s="2"/>
      <c r="J26" s="6"/>
      <c r="K26" s="5"/>
      <c r="L26" s="5"/>
      <c r="M26" s="39">
        <f t="shared" si="1"/>
        <v>21</v>
      </c>
      <c r="N26" s="6"/>
      <c r="O26" s="1">
        <f t="shared" si="0"/>
        <v>22</v>
      </c>
      <c r="P26" s="4">
        <f>'dati nascosti'!$B$4/70*O26</f>
        <v>1.8857142857142857</v>
      </c>
      <c r="Q26" s="3">
        <f>IF(P26&lt;'dati nascosti'!$B$12,'dati nascosti'!$B$10^2*'dati nascosti'!$B$9*LN('dati nascosti'!$B$12/'dati nascosti'!$B$11)*(7+'dati nascosti'!$B$9*LN('dati nascosti'!$B$12/'dati nascosti'!$B$11)),'dati nascosti'!$B$10^2*'dati nascosti'!$B$9*LN(P26/'dati nascosti'!$B$11)*(7+'dati nascosti'!$B$9*LN(P26/'dati nascosti'!$B$11)))</f>
        <v>1.6342119731764906</v>
      </c>
      <c r="R26" s="2">
        <f>'dati nascosti'!$B$19*Q26*'dati nascosti'!$B$13*'dati nascosti'!$B$14/1000</f>
        <v>0.76986188880277173</v>
      </c>
      <c r="S26" s="2">
        <f>'dati nascosti'!$B$19*Q26*'dati nascosti'!$B$13*'dati nascosti'!$B$15/1000</f>
        <v>0.36953370662533047</v>
      </c>
      <c r="X26" s="130" t="s">
        <v>51</v>
      </c>
      <c r="Y26" s="163" t="s">
        <v>169</v>
      </c>
      <c r="Z26" s="159" t="s">
        <v>65</v>
      </c>
      <c r="AA26" s="159" t="s">
        <v>65</v>
      </c>
      <c r="AB26" s="159" t="s">
        <v>66</v>
      </c>
      <c r="AC26" s="164" t="s">
        <v>66</v>
      </c>
      <c r="AD26" s="164" t="s">
        <v>66</v>
      </c>
      <c r="AE26" s="158"/>
      <c r="AF26"/>
      <c r="AG26"/>
    </row>
    <row r="27" spans="1:33" ht="15.75" x14ac:dyDescent="0.25">
      <c r="A27" s="19" t="s">
        <v>39</v>
      </c>
      <c r="B27" s="284" t="s">
        <v>49</v>
      </c>
      <c r="C27" s="284"/>
      <c r="D27" s="19" t="s">
        <v>76</v>
      </c>
      <c r="I27" s="2"/>
      <c r="J27" s="6"/>
      <c r="K27" s="5"/>
      <c r="L27" s="5"/>
      <c r="M27" s="39">
        <f t="shared" si="1"/>
        <v>22</v>
      </c>
      <c r="N27" s="6"/>
      <c r="O27" s="1">
        <f t="shared" si="0"/>
        <v>23</v>
      </c>
      <c r="P27" s="4">
        <f>'dati nascosti'!$B$4/70*O27</f>
        <v>1.9714285714285715</v>
      </c>
      <c r="Q27" s="3">
        <f>IF(P27&lt;'dati nascosti'!$B$12,'dati nascosti'!$B$10^2*'dati nascosti'!$B$9*LN('dati nascosti'!$B$12/'dati nascosti'!$B$11)*(7+'dati nascosti'!$B$9*LN('dati nascosti'!$B$12/'dati nascosti'!$B$11)),'dati nascosti'!$B$10^2*'dati nascosti'!$B$9*LN(P27/'dati nascosti'!$B$11)*(7+'dati nascosti'!$B$9*LN(P27/'dati nascosti'!$B$11)))</f>
        <v>1.6342119731764906</v>
      </c>
      <c r="R27" s="2">
        <f>'dati nascosti'!$B$19*Q27*'dati nascosti'!$B$13*'dati nascosti'!$B$14/1000</f>
        <v>0.76986188880277173</v>
      </c>
      <c r="S27" s="2">
        <f>'dati nascosti'!$B$19*Q27*'dati nascosti'!$B$13*'dati nascosti'!$B$15/1000</f>
        <v>0.36953370662533047</v>
      </c>
      <c r="X27" s="130" t="s">
        <v>53</v>
      </c>
      <c r="Y27" s="163" t="s">
        <v>169</v>
      </c>
      <c r="Z27" s="159" t="s">
        <v>64</v>
      </c>
      <c r="AA27" s="159" t="s">
        <v>64</v>
      </c>
      <c r="AB27" s="159" t="s">
        <v>65</v>
      </c>
      <c r="AC27" s="164" t="s">
        <v>65</v>
      </c>
      <c r="AD27" s="164" t="s">
        <v>65</v>
      </c>
      <c r="AE27" s="158"/>
      <c r="AF27"/>
      <c r="AG27"/>
    </row>
    <row r="28" spans="1:33" x14ac:dyDescent="0.25">
      <c r="A28" s="19">
        <f>'CALCOLO DEL VENTO'!B76</f>
        <v>4</v>
      </c>
      <c r="B28" s="284" t="str">
        <f>IF('CALCOLO DEL VENTO'!B21='DATI NTC'!B15,'DATI NTC'!C15,IF('CALCOLO DEL VENTO'!B21='DATI NTC'!B16,'DATI NTC'!C16,IF('CALCOLO DEL VENTO'!B21='DATI NTC'!B17,'DATI NTC'!C17,IF('CALCOLO DEL VENTO'!B21='DATI NTC'!B18,'DATI NTC'!C18,""))))</f>
        <v>A</v>
      </c>
      <c r="C28" s="284"/>
      <c r="D28" s="19">
        <f>'CALCOLO DEL VENTO'!F32</f>
        <v>0</v>
      </c>
      <c r="I28" s="2"/>
      <c r="J28" s="6"/>
      <c r="K28" s="5"/>
      <c r="L28" s="5"/>
      <c r="M28" s="39">
        <f t="shared" si="1"/>
        <v>23</v>
      </c>
      <c r="N28" s="6"/>
      <c r="O28" s="1">
        <f t="shared" si="0"/>
        <v>24</v>
      </c>
      <c r="P28" s="4">
        <f>'dati nascosti'!$B$4/70*O28</f>
        <v>2.0571428571428569</v>
      </c>
      <c r="Q28" s="3">
        <f>IF(P28&lt;'dati nascosti'!$B$12,'dati nascosti'!$B$10^2*'dati nascosti'!$B$9*LN('dati nascosti'!$B$12/'dati nascosti'!$B$11)*(7+'dati nascosti'!$B$9*LN('dati nascosti'!$B$12/'dati nascosti'!$B$11)),'dati nascosti'!$B$10^2*'dati nascosti'!$B$9*LN(P28/'dati nascosti'!$B$11)*(7+'dati nascosti'!$B$9*LN(P28/'dati nascosti'!$B$11)))</f>
        <v>1.6342119731764906</v>
      </c>
      <c r="R28" s="2">
        <f>'dati nascosti'!$B$19*Q28*'dati nascosti'!$B$13*'dati nascosti'!$B$14/1000</f>
        <v>0.76986188880277173</v>
      </c>
      <c r="S28" s="2">
        <f>'dati nascosti'!$B$19*Q28*'dati nascosti'!$B$13*'dati nascosti'!$B$15/1000</f>
        <v>0.36953370662533047</v>
      </c>
      <c r="X28" s="130" t="s">
        <v>55</v>
      </c>
      <c r="Y28" s="163" t="s">
        <v>169</v>
      </c>
      <c r="Z28" s="159" t="s">
        <v>63</v>
      </c>
      <c r="AA28" s="159" t="s">
        <v>64</v>
      </c>
      <c r="AB28" s="159" t="s">
        <v>64</v>
      </c>
      <c r="AC28" s="164" t="s">
        <v>65</v>
      </c>
      <c r="AD28" s="164" t="s">
        <v>65</v>
      </c>
      <c r="AE28" s="158"/>
      <c r="AF28"/>
      <c r="AG28"/>
    </row>
    <row r="29" spans="1:33" x14ac:dyDescent="0.25">
      <c r="I29" s="2"/>
      <c r="J29" s="6"/>
      <c r="K29" s="5"/>
      <c r="L29" s="5"/>
      <c r="M29" s="39">
        <f t="shared" si="1"/>
        <v>24</v>
      </c>
      <c r="N29" s="6"/>
      <c r="O29" s="1">
        <f t="shared" si="0"/>
        <v>25</v>
      </c>
      <c r="P29" s="4">
        <f>'dati nascosti'!$B$4/70*O29</f>
        <v>2.1428571428571428</v>
      </c>
      <c r="Q29" s="3">
        <f>IF(P29&lt;'dati nascosti'!$B$12,'dati nascosti'!$B$10^2*'dati nascosti'!$B$9*LN('dati nascosti'!$B$12/'dati nascosti'!$B$11)*(7+'dati nascosti'!$B$9*LN('dati nascosti'!$B$12/'dati nascosti'!$B$11)),'dati nascosti'!$B$10^2*'dati nascosti'!$B$9*LN(P29/'dati nascosti'!$B$11)*(7+'dati nascosti'!$B$9*LN(P29/'dati nascosti'!$B$11)))</f>
        <v>1.6342119731764906</v>
      </c>
      <c r="R29" s="2">
        <f>'dati nascosti'!$B$19*Q29*'dati nascosti'!$B$13*'dati nascosti'!$B$14/1000</f>
        <v>0.76986188880277173</v>
      </c>
      <c r="S29" s="2">
        <f>'dati nascosti'!$B$19*Q29*'dati nascosti'!$B$13*'dati nascosti'!$B$15/1000</f>
        <v>0.36953370662533047</v>
      </c>
      <c r="X29" s="130" t="s">
        <v>57</v>
      </c>
      <c r="Y29" s="163" t="s">
        <v>62</v>
      </c>
      <c r="Z29" s="159" t="s">
        <v>63</v>
      </c>
      <c r="AA29" s="159" t="s">
        <v>63</v>
      </c>
      <c r="AB29" s="159" t="s">
        <v>63</v>
      </c>
      <c r="AC29" s="164" t="s">
        <v>64</v>
      </c>
      <c r="AD29" s="164" t="s">
        <v>64</v>
      </c>
      <c r="AE29" s="158"/>
      <c r="AF29"/>
      <c r="AG29"/>
    </row>
    <row r="30" spans="1:33" x14ac:dyDescent="0.25">
      <c r="I30" s="2"/>
      <c r="J30" s="6"/>
      <c r="K30" s="5"/>
      <c r="L30" s="5"/>
      <c r="M30" s="39">
        <f t="shared" si="1"/>
        <v>25</v>
      </c>
      <c r="N30" s="6"/>
      <c r="O30" s="1">
        <f t="shared" si="0"/>
        <v>26</v>
      </c>
      <c r="P30" s="4">
        <f>'dati nascosti'!$B$4/70*O30</f>
        <v>2.2285714285714286</v>
      </c>
      <c r="Q30" s="3">
        <f>IF(P30&lt;'dati nascosti'!$B$12,'dati nascosti'!$B$10^2*'dati nascosti'!$B$9*LN('dati nascosti'!$B$12/'dati nascosti'!$B$11)*(7+'dati nascosti'!$B$9*LN('dati nascosti'!$B$12/'dati nascosti'!$B$11)),'dati nascosti'!$B$10^2*'dati nascosti'!$B$9*LN(P30/'dati nascosti'!$B$11)*(7+'dati nascosti'!$B$9*LN(P30/'dati nascosti'!$B$11)))</f>
        <v>1.6342119731764906</v>
      </c>
      <c r="R30" s="2">
        <f>'dati nascosti'!$B$19*Q30*'dati nascosti'!$B$13*'dati nascosti'!$B$14/1000</f>
        <v>0.76986188880277173</v>
      </c>
      <c r="S30" s="2">
        <f>'dati nascosti'!$B$19*Q30*'dati nascosti'!$B$13*'dati nascosti'!$B$15/1000</f>
        <v>0.36953370662533047</v>
      </c>
      <c r="X30"/>
      <c r="Y30" s="276" t="s">
        <v>171</v>
      </c>
      <c r="Z30" s="276"/>
      <c r="AA30" s="276"/>
      <c r="AB30" s="276"/>
      <c r="AC30" s="276"/>
      <c r="AD30" s="276"/>
      <c r="AE30" s="158"/>
      <c r="AF30"/>
      <c r="AG30"/>
    </row>
    <row r="31" spans="1:33" x14ac:dyDescent="0.25">
      <c r="I31" s="2"/>
      <c r="J31" s="6"/>
      <c r="K31" s="5"/>
      <c r="L31" s="5"/>
      <c r="M31" s="39">
        <f t="shared" si="1"/>
        <v>26</v>
      </c>
      <c r="N31" s="6"/>
      <c r="O31" s="1">
        <f t="shared" si="0"/>
        <v>27</v>
      </c>
      <c r="P31" s="4">
        <f>'dati nascosti'!$B$4/70*O31</f>
        <v>2.3142857142857145</v>
      </c>
      <c r="Q31" s="3">
        <f>IF(P31&lt;'dati nascosti'!$B$12,'dati nascosti'!$B$10^2*'dati nascosti'!$B$9*LN('dati nascosti'!$B$12/'dati nascosti'!$B$11)*(7+'dati nascosti'!$B$9*LN('dati nascosti'!$B$12/'dati nascosti'!$B$11)),'dati nascosti'!$B$10^2*'dati nascosti'!$B$9*LN(P31/'dati nascosti'!$B$11)*(7+'dati nascosti'!$B$9*LN(P31/'dati nascosti'!$B$11)))</f>
        <v>1.6342119731764906</v>
      </c>
      <c r="R31" s="2">
        <f>'dati nascosti'!$B$19*Q31*'dati nascosti'!$B$13*'dati nascosti'!$B$14/1000</f>
        <v>0.76986188880277173</v>
      </c>
      <c r="S31" s="2">
        <f>'dati nascosti'!$B$19*Q31*'dati nascosti'!$B$13*'dati nascosti'!$B$15/1000</f>
        <v>0.36953370662533047</v>
      </c>
      <c r="X31" s="66"/>
      <c r="Y31" s="160" t="s">
        <v>166</v>
      </c>
      <c r="Z31" s="277" t="s">
        <v>167</v>
      </c>
      <c r="AA31" s="278"/>
      <c r="AB31" s="276" t="s">
        <v>168</v>
      </c>
      <c r="AC31" s="276"/>
      <c r="AD31" s="276"/>
      <c r="AE31" s="158"/>
      <c r="AF31"/>
      <c r="AG31"/>
    </row>
    <row r="32" spans="1:33" x14ac:dyDescent="0.25">
      <c r="I32" s="2"/>
      <c r="J32" s="6"/>
      <c r="K32" s="5"/>
      <c r="L32" s="5"/>
      <c r="M32" s="39">
        <f t="shared" si="1"/>
        <v>27</v>
      </c>
      <c r="N32" s="6"/>
      <c r="O32" s="1">
        <f t="shared" si="0"/>
        <v>28</v>
      </c>
      <c r="P32" s="4">
        <f>'dati nascosti'!$B$4/70*O32</f>
        <v>2.4</v>
      </c>
      <c r="Q32" s="3">
        <f>IF(P32&lt;'dati nascosti'!$B$12,'dati nascosti'!$B$10^2*'dati nascosti'!$B$9*LN('dati nascosti'!$B$12/'dati nascosti'!$B$11)*(7+'dati nascosti'!$B$9*LN('dati nascosti'!$B$12/'dati nascosti'!$B$11)),'dati nascosti'!$B$10^2*'dati nascosti'!$B$9*LN(P32/'dati nascosti'!$B$11)*(7+'dati nascosti'!$B$9*LN(P32/'dati nascosti'!$B$11)))</f>
        <v>1.6342119731764906</v>
      </c>
      <c r="R32" s="2">
        <f>'dati nascosti'!$B$19*Q32*'dati nascosti'!$B$13*'dati nascosti'!$B$14/1000</f>
        <v>0.76986188880277173</v>
      </c>
      <c r="S32" s="2">
        <f>'dati nascosti'!$B$19*Q32*'dati nascosti'!$B$13*'dati nascosti'!$B$15/1000</f>
        <v>0.36953370662533047</v>
      </c>
      <c r="X32" s="66"/>
      <c r="Y32" s="130">
        <v>2</v>
      </c>
      <c r="Z32" s="161">
        <v>10</v>
      </c>
      <c r="AA32" s="161">
        <v>30</v>
      </c>
      <c r="AB32" s="130">
        <v>500</v>
      </c>
      <c r="AC32" s="162">
        <v>750</v>
      </c>
      <c r="AD32" s="162">
        <v>10000</v>
      </c>
      <c r="AE32" s="158"/>
      <c r="AF32"/>
      <c r="AG32"/>
    </row>
    <row r="33" spans="1:33" x14ac:dyDescent="0.25">
      <c r="A33" t="s">
        <v>117</v>
      </c>
      <c r="B33"/>
      <c r="C33"/>
      <c r="D33"/>
      <c r="E33"/>
      <c r="F33"/>
      <c r="I33" s="2"/>
      <c r="J33" s="6"/>
      <c r="K33" s="5"/>
      <c r="L33" s="5"/>
      <c r="M33" s="39">
        <f t="shared" si="1"/>
        <v>28</v>
      </c>
      <c r="N33" s="6"/>
      <c r="O33" s="1">
        <f t="shared" si="0"/>
        <v>29</v>
      </c>
      <c r="P33" s="4">
        <f>'dati nascosti'!$B$4/70*O33</f>
        <v>2.4857142857142858</v>
      </c>
      <c r="Q33" s="3">
        <f>IF(P33&lt;'dati nascosti'!$B$12,'dati nascosti'!$B$10^2*'dati nascosti'!$B$9*LN('dati nascosti'!$B$12/'dati nascosti'!$B$11)*(7+'dati nascosti'!$B$9*LN('dati nascosti'!$B$12/'dati nascosti'!$B$11)),'dati nascosti'!$B$10^2*'dati nascosti'!$B$9*LN(P33/'dati nascosti'!$B$11)*(7+'dati nascosti'!$B$9*LN(P33/'dati nascosti'!$B$11)))</f>
        <v>1.6342119731764906</v>
      </c>
      <c r="R33" s="2">
        <f>'dati nascosti'!$B$19*Q33*'dati nascosti'!$B$13*'dati nascosti'!$B$14/1000</f>
        <v>0.76986188880277173</v>
      </c>
      <c r="S33" s="2">
        <f>'dati nascosti'!$B$19*Q33*'dati nascosti'!$B$13*'dati nascosti'!$B$15/1000</f>
        <v>0.36953370662533047</v>
      </c>
      <c r="X33" s="130" t="s">
        <v>51</v>
      </c>
      <c r="Y33" s="163" t="s">
        <v>169</v>
      </c>
      <c r="Z33" s="159" t="s">
        <v>65</v>
      </c>
      <c r="AA33" s="159" t="s">
        <v>65</v>
      </c>
      <c r="AB33" s="159" t="s">
        <v>66</v>
      </c>
      <c r="AC33" s="164" t="s">
        <v>66</v>
      </c>
      <c r="AD33" s="164" t="s">
        <v>66</v>
      </c>
      <c r="AE33" s="158"/>
      <c r="AF33"/>
      <c r="AG33"/>
    </row>
    <row r="34" spans="1:33" x14ac:dyDescent="0.25">
      <c r="A34" s="27"/>
      <c r="B34" s="28" t="s">
        <v>114</v>
      </c>
      <c r="C34" s="28"/>
      <c r="D34" s="28"/>
      <c r="E34" s="28"/>
      <c r="F34" s="29"/>
      <c r="I34" s="2"/>
      <c r="J34" s="6"/>
      <c r="K34" s="5"/>
      <c r="L34" s="5"/>
      <c r="M34" s="39">
        <f t="shared" si="1"/>
        <v>29</v>
      </c>
      <c r="N34" s="6"/>
      <c r="O34" s="1">
        <f t="shared" si="0"/>
        <v>30</v>
      </c>
      <c r="P34" s="4">
        <f>'dati nascosti'!$B$4/70*O34</f>
        <v>2.5714285714285716</v>
      </c>
      <c r="Q34" s="3">
        <f>IF(P34&lt;'dati nascosti'!$B$12,'dati nascosti'!$B$10^2*'dati nascosti'!$B$9*LN('dati nascosti'!$B$12/'dati nascosti'!$B$11)*(7+'dati nascosti'!$B$9*LN('dati nascosti'!$B$12/'dati nascosti'!$B$11)),'dati nascosti'!$B$10^2*'dati nascosti'!$B$9*LN(P34/'dati nascosti'!$B$11)*(7+'dati nascosti'!$B$9*LN(P34/'dati nascosti'!$B$11)))</f>
        <v>1.6342119731764906</v>
      </c>
      <c r="R34" s="2">
        <f>'dati nascosti'!$B$19*Q34*'dati nascosti'!$B$13*'dati nascosti'!$B$14/1000</f>
        <v>0.76986188880277173</v>
      </c>
      <c r="S34" s="2">
        <f>'dati nascosti'!$B$19*Q34*'dati nascosti'!$B$13*'dati nascosti'!$B$15/1000</f>
        <v>0.36953370662533047</v>
      </c>
      <c r="X34" s="130" t="s">
        <v>53</v>
      </c>
      <c r="Y34" s="163" t="s">
        <v>169</v>
      </c>
      <c r="Z34" s="159" t="s">
        <v>64</v>
      </c>
      <c r="AA34" s="159" t="s">
        <v>64</v>
      </c>
      <c r="AB34" s="159" t="s">
        <v>65</v>
      </c>
      <c r="AC34" s="164" t="s">
        <v>65</v>
      </c>
      <c r="AD34" s="164" t="s">
        <v>65</v>
      </c>
      <c r="AE34" s="158"/>
      <c r="AF34"/>
      <c r="AG34"/>
    </row>
    <row r="35" spans="1:33" x14ac:dyDescent="0.25">
      <c r="A35" s="30">
        <v>1</v>
      </c>
      <c r="B35" s="26" t="s">
        <v>128</v>
      </c>
      <c r="C35" s="26"/>
      <c r="D35" s="26"/>
      <c r="E35" s="26"/>
      <c r="F35" s="31"/>
      <c r="I35" s="2"/>
      <c r="J35" s="6"/>
      <c r="K35" s="5"/>
      <c r="L35" s="5"/>
      <c r="M35" s="39">
        <f t="shared" si="1"/>
        <v>30</v>
      </c>
      <c r="N35" s="6"/>
      <c r="O35" s="1">
        <f t="shared" si="0"/>
        <v>31</v>
      </c>
      <c r="P35" s="4">
        <f>'dati nascosti'!$B$4/70*O35</f>
        <v>2.657142857142857</v>
      </c>
      <c r="Q35" s="3">
        <f>IF(P35&lt;'dati nascosti'!$B$12,'dati nascosti'!$B$10^2*'dati nascosti'!$B$9*LN('dati nascosti'!$B$12/'dati nascosti'!$B$11)*(7+'dati nascosti'!$B$9*LN('dati nascosti'!$B$12/'dati nascosti'!$B$11)),'dati nascosti'!$B$10^2*'dati nascosti'!$B$9*LN(P35/'dati nascosti'!$B$11)*(7+'dati nascosti'!$B$9*LN(P35/'dati nascosti'!$B$11)))</f>
        <v>1.6342119731764906</v>
      </c>
      <c r="R35" s="2">
        <f>'dati nascosti'!$B$19*Q35*'dati nascosti'!$B$13*'dati nascosti'!$B$14/1000</f>
        <v>0.76986188880277173</v>
      </c>
      <c r="S35" s="2">
        <f>'dati nascosti'!$B$19*Q35*'dati nascosti'!$B$13*'dati nascosti'!$B$15/1000</f>
        <v>0.36953370662533047</v>
      </c>
      <c r="X35" s="130" t="s">
        <v>55</v>
      </c>
      <c r="Y35" s="163" t="s">
        <v>169</v>
      </c>
      <c r="Z35" s="159" t="s">
        <v>64</v>
      </c>
      <c r="AA35" s="159" t="s">
        <v>64</v>
      </c>
      <c r="AB35" s="159" t="s">
        <v>64</v>
      </c>
      <c r="AC35" s="164" t="s">
        <v>65</v>
      </c>
      <c r="AD35" s="164" t="s">
        <v>65</v>
      </c>
      <c r="AE35" s="158"/>
      <c r="AF35"/>
      <c r="AG35"/>
    </row>
    <row r="36" spans="1:33" x14ac:dyDescent="0.25">
      <c r="A36" s="30">
        <v>2</v>
      </c>
      <c r="B36" s="26" t="s">
        <v>129</v>
      </c>
      <c r="C36" s="26"/>
      <c r="D36" s="26"/>
      <c r="E36" s="26"/>
      <c r="F36" s="31"/>
      <c r="I36" s="2"/>
      <c r="J36" s="6"/>
      <c r="K36" s="5"/>
      <c r="L36" s="5"/>
      <c r="M36" s="39">
        <f t="shared" si="1"/>
        <v>31</v>
      </c>
      <c r="N36" s="6"/>
      <c r="O36" s="1">
        <f t="shared" si="0"/>
        <v>32</v>
      </c>
      <c r="P36" s="4">
        <f>'dati nascosti'!$B$4/70*O36</f>
        <v>2.7428571428571429</v>
      </c>
      <c r="Q36" s="3">
        <f>IF(P36&lt;'dati nascosti'!$B$12,'dati nascosti'!$B$10^2*'dati nascosti'!$B$9*LN('dati nascosti'!$B$12/'dati nascosti'!$B$11)*(7+'dati nascosti'!$B$9*LN('dati nascosti'!$B$12/'dati nascosti'!$B$11)),'dati nascosti'!$B$10^2*'dati nascosti'!$B$9*LN(P36/'dati nascosti'!$B$11)*(7+'dati nascosti'!$B$9*LN(P36/'dati nascosti'!$B$11)))</f>
        <v>1.6342119731764906</v>
      </c>
      <c r="R36" s="2">
        <f>'dati nascosti'!$B$19*Q36*'dati nascosti'!$B$13*'dati nascosti'!$B$14/1000</f>
        <v>0.76986188880277173</v>
      </c>
      <c r="S36" s="2">
        <f>'dati nascosti'!$B$19*Q36*'dati nascosti'!$B$13*'dati nascosti'!$B$15/1000</f>
        <v>0.36953370662533047</v>
      </c>
      <c r="X36" s="130" t="s">
        <v>57</v>
      </c>
      <c r="Y36" s="163" t="s">
        <v>62</v>
      </c>
      <c r="Z36" s="159" t="s">
        <v>63</v>
      </c>
      <c r="AA36" s="159" t="s">
        <v>63</v>
      </c>
      <c r="AB36" s="159" t="s">
        <v>63</v>
      </c>
      <c r="AC36" s="164" t="s">
        <v>64</v>
      </c>
      <c r="AD36" s="164" t="s">
        <v>64</v>
      </c>
      <c r="AE36" s="158"/>
      <c r="AF36"/>
      <c r="AG36"/>
    </row>
    <row r="37" spans="1:33" x14ac:dyDescent="0.25">
      <c r="A37" s="30">
        <v>3</v>
      </c>
      <c r="B37" s="26" t="s">
        <v>130</v>
      </c>
      <c r="C37" s="26"/>
      <c r="D37" s="26"/>
      <c r="E37" s="26"/>
      <c r="F37" s="31"/>
      <c r="I37" s="2"/>
      <c r="J37" s="6"/>
      <c r="K37" s="6"/>
      <c r="L37" s="6"/>
      <c r="M37" s="39">
        <f t="shared" si="1"/>
        <v>32</v>
      </c>
      <c r="N37" s="6"/>
      <c r="O37" s="1">
        <f t="shared" ref="O37:O68" si="2">O36+1</f>
        <v>33</v>
      </c>
      <c r="P37" s="4">
        <f>'dati nascosti'!$B$4/70*O37</f>
        <v>2.8285714285714287</v>
      </c>
      <c r="Q37" s="3">
        <f>IF(P37&lt;'dati nascosti'!$B$12,'dati nascosti'!$B$10^2*'dati nascosti'!$B$9*LN('dati nascosti'!$B$12/'dati nascosti'!$B$11)*(7+'dati nascosti'!$B$9*LN('dati nascosti'!$B$12/'dati nascosti'!$B$11)),'dati nascosti'!$B$10^2*'dati nascosti'!$B$9*LN(P37/'dati nascosti'!$B$11)*(7+'dati nascosti'!$B$9*LN(P37/'dati nascosti'!$B$11)))</f>
        <v>1.6342119731764906</v>
      </c>
      <c r="R37" s="2">
        <f>'dati nascosti'!$B$19*Q37*'dati nascosti'!$B$13*'dati nascosti'!$B$14/1000</f>
        <v>0.76986188880277173</v>
      </c>
      <c r="S37" s="2">
        <f>'dati nascosti'!$B$19*Q37*'dati nascosti'!$B$13*'dati nascosti'!$B$15/1000</f>
        <v>0.36953370662533047</v>
      </c>
      <c r="X37" s="66"/>
      <c r="Y37" s="276" t="s">
        <v>172</v>
      </c>
      <c r="Z37" s="276"/>
      <c r="AA37" s="276"/>
      <c r="AB37" s="276"/>
      <c r="AC37" s="276"/>
      <c r="AD37" s="276"/>
      <c r="AE37" s="158"/>
      <c r="AF37"/>
      <c r="AG37"/>
    </row>
    <row r="38" spans="1:33" x14ac:dyDescent="0.25">
      <c r="A38" s="30"/>
      <c r="B38" s="26"/>
      <c r="C38" s="26"/>
      <c r="D38" s="26"/>
      <c r="E38" s="26"/>
      <c r="F38" s="31"/>
      <c r="I38" s="2"/>
      <c r="J38" s="6"/>
      <c r="K38" s="5"/>
      <c r="L38" s="5"/>
      <c r="M38" s="39">
        <f t="shared" si="1"/>
        <v>33</v>
      </c>
      <c r="N38" s="6"/>
      <c r="O38" s="1">
        <f t="shared" si="2"/>
        <v>34</v>
      </c>
      <c r="P38" s="4">
        <f>'dati nascosti'!$B$4/70*O38</f>
        <v>2.9142857142857141</v>
      </c>
      <c r="Q38" s="3">
        <f>IF(P38&lt;'dati nascosti'!$B$12,'dati nascosti'!$B$10^2*'dati nascosti'!$B$9*LN('dati nascosti'!$B$12/'dati nascosti'!$B$11)*(7+'dati nascosti'!$B$9*LN('dati nascosti'!$B$12/'dati nascosti'!$B$11)),'dati nascosti'!$B$10^2*'dati nascosti'!$B$9*LN(P38/'dati nascosti'!$B$11)*(7+'dati nascosti'!$B$9*LN(P38/'dati nascosti'!$B$11)))</f>
        <v>1.6342119731764906</v>
      </c>
      <c r="R38" s="2">
        <f>'dati nascosti'!$B$19*Q38*'dati nascosti'!$B$13*'dati nascosti'!$B$14/1000</f>
        <v>0.76986188880277173</v>
      </c>
      <c r="S38" s="2">
        <f>'dati nascosti'!$B$19*Q38*'dati nascosti'!$B$13*'dati nascosti'!$B$15/1000</f>
        <v>0.36953370662533047</v>
      </c>
      <c r="X38" s="66"/>
      <c r="Y38" s="160" t="s">
        <v>166</v>
      </c>
      <c r="Z38" s="277" t="s">
        <v>167</v>
      </c>
      <c r="AA38" s="278"/>
      <c r="AB38" s="276" t="s">
        <v>168</v>
      </c>
      <c r="AC38" s="276"/>
      <c r="AD38" s="276"/>
      <c r="AE38" s="158"/>
      <c r="AF38"/>
      <c r="AG38"/>
    </row>
    <row r="39" spans="1:33" x14ac:dyDescent="0.25">
      <c r="A39" s="30"/>
      <c r="B39" s="26"/>
      <c r="C39" s="32" t="s">
        <v>115</v>
      </c>
      <c r="D39" s="32" t="s">
        <v>116</v>
      </c>
      <c r="E39" s="26"/>
      <c r="F39" s="31"/>
      <c r="I39" s="2"/>
      <c r="J39" s="6"/>
      <c r="K39" s="5"/>
      <c r="L39" s="5"/>
      <c r="M39" s="39">
        <f t="shared" si="1"/>
        <v>34</v>
      </c>
      <c r="N39" s="6"/>
      <c r="O39" s="1">
        <f t="shared" si="2"/>
        <v>35</v>
      </c>
      <c r="P39" s="4">
        <f>'dati nascosti'!$B$4/70*O39</f>
        <v>3</v>
      </c>
      <c r="Q39" s="3">
        <f>IF(P39&lt;'dati nascosti'!$B$12,'dati nascosti'!$B$10^2*'dati nascosti'!$B$9*LN('dati nascosti'!$B$12/'dati nascosti'!$B$11)*(7+'dati nascosti'!$B$9*LN('dati nascosti'!$B$12/'dati nascosti'!$B$11)),'dati nascosti'!$B$10^2*'dati nascosti'!$B$9*LN(P39/'dati nascosti'!$B$11)*(7+'dati nascosti'!$B$9*LN(P39/'dati nascosti'!$B$11)))</f>
        <v>1.6342119731764906</v>
      </c>
      <c r="R39" s="2">
        <f>'dati nascosti'!$B$19*Q39*'dati nascosti'!$B$13*'dati nascosti'!$B$14/1000</f>
        <v>0.76986188880277173</v>
      </c>
      <c r="S39" s="2">
        <f>'dati nascosti'!$B$19*Q39*'dati nascosti'!$B$13*'dati nascosti'!$B$15/1000</f>
        <v>0.36953370662533047</v>
      </c>
      <c r="X39"/>
      <c r="Y39" s="130">
        <v>2</v>
      </c>
      <c r="Z39" s="161">
        <v>10</v>
      </c>
      <c r="AA39" s="161">
        <v>30</v>
      </c>
      <c r="AB39" s="130">
        <v>500</v>
      </c>
      <c r="AC39" s="162">
        <v>10000</v>
      </c>
      <c r="AD39" s="162"/>
      <c r="AE39" s="158"/>
      <c r="AF39"/>
      <c r="AG39"/>
    </row>
    <row r="40" spans="1:33" x14ac:dyDescent="0.25">
      <c r="A40" s="30"/>
      <c r="B40" s="26"/>
      <c r="C40" s="32">
        <f>'CALCOLO DEL VENTO'!F35/'CALCOLO DEL VENTO'!C156</f>
        <v>7.4999999999999997E-2</v>
      </c>
      <c r="D40" s="32">
        <f>'CALCOLO DEL VENTO'!C156/'CALCOLO DEL VENTO'!C157</f>
        <v>16</v>
      </c>
      <c r="E40" s="26"/>
      <c r="F40" s="31"/>
      <c r="I40" s="2"/>
      <c r="J40" s="6"/>
      <c r="K40" s="5"/>
      <c r="L40" s="5"/>
      <c r="M40" s="39">
        <f t="shared" si="1"/>
        <v>35</v>
      </c>
      <c r="N40" s="6"/>
      <c r="O40" s="1">
        <f t="shared" si="2"/>
        <v>36</v>
      </c>
      <c r="P40" s="4">
        <f>'dati nascosti'!$B$4/70*O40</f>
        <v>3.0857142857142859</v>
      </c>
      <c r="Q40" s="3">
        <f>IF(P40&lt;'dati nascosti'!$B$12,'dati nascosti'!$B$10^2*'dati nascosti'!$B$9*LN('dati nascosti'!$B$12/'dati nascosti'!$B$11)*(7+'dati nascosti'!$B$9*LN('dati nascosti'!$B$12/'dati nascosti'!$B$11)),'dati nascosti'!$B$10^2*'dati nascosti'!$B$9*LN(P40/'dati nascosti'!$B$11)*(7+'dati nascosti'!$B$9*LN(P40/'dati nascosti'!$B$11)))</f>
        <v>1.6342119731764906</v>
      </c>
      <c r="R40" s="2">
        <f>'dati nascosti'!$B$19*Q40*'dati nascosti'!$B$13*'dati nascosti'!$B$14/1000</f>
        <v>0.76986188880277173</v>
      </c>
      <c r="S40" s="2">
        <f>'dati nascosti'!$B$19*Q40*'dati nascosti'!$B$13*'dati nascosti'!$B$15/1000</f>
        <v>0.36953370662533047</v>
      </c>
      <c r="X40" s="130" t="s">
        <v>51</v>
      </c>
      <c r="Y40" s="163" t="s">
        <v>169</v>
      </c>
      <c r="Z40" s="159" t="s">
        <v>64</v>
      </c>
      <c r="AA40" s="159" t="s">
        <v>65</v>
      </c>
      <c r="AB40" s="159" t="s">
        <v>66</v>
      </c>
      <c r="AC40" s="164" t="s">
        <v>66</v>
      </c>
      <c r="AD40"/>
      <c r="AE40" s="158"/>
      <c r="AF40"/>
      <c r="AG40"/>
    </row>
    <row r="41" spans="1:33" x14ac:dyDescent="0.25">
      <c r="A41" s="30"/>
      <c r="B41" s="26"/>
      <c r="C41" s="26"/>
      <c r="D41" s="26"/>
      <c r="E41" s="26"/>
      <c r="F41" s="31"/>
      <c r="I41" s="2"/>
      <c r="J41" s="6"/>
      <c r="K41" s="5"/>
      <c r="L41" s="5"/>
      <c r="M41" s="39">
        <f t="shared" si="1"/>
        <v>36</v>
      </c>
      <c r="N41" s="6"/>
      <c r="O41" s="1">
        <f t="shared" si="2"/>
        <v>37</v>
      </c>
      <c r="P41" s="4">
        <f>'dati nascosti'!$B$4/70*O41</f>
        <v>3.1714285714285713</v>
      </c>
      <c r="Q41" s="3">
        <f>IF(P41&lt;'dati nascosti'!$B$12,'dati nascosti'!$B$10^2*'dati nascosti'!$B$9*LN('dati nascosti'!$B$12/'dati nascosti'!$B$11)*(7+'dati nascosti'!$B$9*LN('dati nascosti'!$B$12/'dati nascosti'!$B$11)),'dati nascosti'!$B$10^2*'dati nascosti'!$B$9*LN(P41/'dati nascosti'!$B$11)*(7+'dati nascosti'!$B$9*LN(P41/'dati nascosti'!$B$11)))</f>
        <v>1.6342119731764906</v>
      </c>
      <c r="R41" s="2">
        <f>'dati nascosti'!$B$19*Q41*'dati nascosti'!$B$13*'dati nascosti'!$B$14/1000</f>
        <v>0.76986188880277173</v>
      </c>
      <c r="S41" s="2">
        <f>'dati nascosti'!$B$19*Q41*'dati nascosti'!$B$13*'dati nascosti'!$B$15/1000</f>
        <v>0.36953370662533047</v>
      </c>
      <c r="X41" s="130" t="s">
        <v>53</v>
      </c>
      <c r="Y41" s="163" t="s">
        <v>169</v>
      </c>
      <c r="Z41" s="159" t="s">
        <v>63</v>
      </c>
      <c r="AA41" s="159" t="s">
        <v>64</v>
      </c>
      <c r="AB41" s="159" t="s">
        <v>65</v>
      </c>
      <c r="AC41" s="164" t="s">
        <v>65</v>
      </c>
      <c r="AD41"/>
      <c r="AE41" s="158"/>
      <c r="AF41"/>
      <c r="AG41"/>
    </row>
    <row r="42" spans="1:33" x14ac:dyDescent="0.25">
      <c r="A42" s="30"/>
      <c r="B42" s="26"/>
      <c r="C42" s="32">
        <v>1</v>
      </c>
      <c r="D42" s="32">
        <v>2</v>
      </c>
      <c r="E42" s="32">
        <v>3</v>
      </c>
      <c r="F42" s="31"/>
      <c r="I42" s="2"/>
      <c r="J42" s="6"/>
      <c r="K42" s="5"/>
      <c r="L42" s="5"/>
      <c r="M42" s="39">
        <f t="shared" si="1"/>
        <v>37</v>
      </c>
      <c r="N42" s="6"/>
      <c r="O42" s="1">
        <f t="shared" si="2"/>
        <v>38</v>
      </c>
      <c r="P42" s="4">
        <f>'dati nascosti'!$B$4/70*O42</f>
        <v>3.2571428571428571</v>
      </c>
      <c r="Q42" s="3">
        <f>IF(P42&lt;'dati nascosti'!$B$12,'dati nascosti'!$B$10^2*'dati nascosti'!$B$9*LN('dati nascosti'!$B$12/'dati nascosti'!$B$11)*(7+'dati nascosti'!$B$9*LN('dati nascosti'!$B$12/'dati nascosti'!$B$11)),'dati nascosti'!$B$10^2*'dati nascosti'!$B$9*LN(P42/'dati nascosti'!$B$11)*(7+'dati nascosti'!$B$9*LN(P42/'dati nascosti'!$B$11)))</f>
        <v>1.6342119731764906</v>
      </c>
      <c r="R42" s="2">
        <f>'dati nascosti'!$B$19*Q42*'dati nascosti'!$B$13*'dati nascosti'!$B$14/1000</f>
        <v>0.76986188880277173</v>
      </c>
      <c r="S42" s="2">
        <f>'dati nascosti'!$B$19*Q42*'dati nascosti'!$B$13*'dati nascosti'!$B$15/1000</f>
        <v>0.36953370662533047</v>
      </c>
      <c r="X42" s="130" t="s">
        <v>55</v>
      </c>
      <c r="Y42" s="163" t="s">
        <v>169</v>
      </c>
      <c r="Z42" s="159" t="s">
        <v>63</v>
      </c>
      <c r="AA42" s="159" t="s">
        <v>64</v>
      </c>
      <c r="AB42" s="159" t="s">
        <v>64</v>
      </c>
      <c r="AC42" s="164" t="s">
        <v>65</v>
      </c>
      <c r="AD42"/>
      <c r="AE42" s="158"/>
      <c r="AF42"/>
      <c r="AG42"/>
    </row>
    <row r="43" spans="1:33" x14ac:dyDescent="0.25">
      <c r="A43" s="33"/>
      <c r="B43" s="34"/>
      <c r="C43" s="35">
        <f>1+'CALCOLO DEL VENTO'!F156*'CALCOLO DEL VENTO'!F157</f>
        <v>1.5</v>
      </c>
      <c r="D43" s="35">
        <f>IF((1+'CALCOLO DEL VENTO'!F156*'CALCOLO DEL VENTO'!F157*(1-0.1*'CALCOLO DEL VENTO'!C159/'CALCOLO DEL VENTO'!C156))&gt;=1,(1+'CALCOLO DEL VENTO'!F156*'CALCOLO DEL VENTO'!F157*(1-0.1*'CALCOLO DEL VENTO'!C159/'CALCOLO DEL VENTO'!C156)),1)</f>
        <v>1.5</v>
      </c>
      <c r="E43" s="35">
        <f>1+'CALCOLO DEL VENTO'!F156*'CALCOLO DEL VENTO'!F157*'CALCOLO DEL VENTO'!C158/'CALCOLO DEL VENTO'!C156</f>
        <v>1.0625</v>
      </c>
      <c r="F43" s="36"/>
      <c r="I43" s="2"/>
      <c r="J43" s="6"/>
      <c r="K43" s="5"/>
      <c r="L43" s="5"/>
      <c r="M43" s="39">
        <f t="shared" si="1"/>
        <v>38</v>
      </c>
      <c r="N43" s="6"/>
      <c r="O43" s="1">
        <f t="shared" si="2"/>
        <v>39</v>
      </c>
      <c r="P43" s="4">
        <f>'dati nascosti'!$B$4/70*O43</f>
        <v>3.342857142857143</v>
      </c>
      <c r="Q43" s="3">
        <f>IF(P43&lt;'dati nascosti'!$B$12,'dati nascosti'!$B$10^2*'dati nascosti'!$B$9*LN('dati nascosti'!$B$12/'dati nascosti'!$B$11)*(7+'dati nascosti'!$B$9*LN('dati nascosti'!$B$12/'dati nascosti'!$B$11)),'dati nascosti'!$B$10^2*'dati nascosti'!$B$9*LN(P43/'dati nascosti'!$B$11)*(7+'dati nascosti'!$B$9*LN(P43/'dati nascosti'!$B$11)))</f>
        <v>1.6342119731764906</v>
      </c>
      <c r="R43" s="2">
        <f>'dati nascosti'!$B$19*Q43*'dati nascosti'!$B$13*'dati nascosti'!$B$14/1000</f>
        <v>0.76986188880277173</v>
      </c>
      <c r="S43" s="2">
        <f>'dati nascosti'!$B$19*Q43*'dati nascosti'!$B$13*'dati nascosti'!$B$15/1000</f>
        <v>0.36953370662533047</v>
      </c>
      <c r="X43" s="130" t="s">
        <v>57</v>
      </c>
      <c r="Y43" s="163" t="s">
        <v>62</v>
      </c>
      <c r="Z43" s="159" t="s">
        <v>62</v>
      </c>
      <c r="AA43" s="159" t="s">
        <v>63</v>
      </c>
      <c r="AB43" s="159" t="s">
        <v>63</v>
      </c>
      <c r="AC43" s="164" t="s">
        <v>64</v>
      </c>
      <c r="AD43"/>
      <c r="AE43" s="158"/>
      <c r="AF43"/>
      <c r="AG43"/>
    </row>
    <row r="44" spans="1:33" x14ac:dyDescent="0.25">
      <c r="I44" s="2"/>
      <c r="J44" s="6"/>
      <c r="K44" s="5"/>
      <c r="L44" s="5"/>
      <c r="M44" s="39">
        <f t="shared" si="1"/>
        <v>39</v>
      </c>
      <c r="N44" s="6"/>
      <c r="O44" s="1">
        <f t="shared" si="2"/>
        <v>40</v>
      </c>
      <c r="P44" s="4">
        <f>'dati nascosti'!$B$4/70*O44</f>
        <v>3.4285714285714288</v>
      </c>
      <c r="Q44" s="3">
        <f>IF(P44&lt;'dati nascosti'!$B$12,'dati nascosti'!$B$10^2*'dati nascosti'!$B$9*LN('dati nascosti'!$B$12/'dati nascosti'!$B$11)*(7+'dati nascosti'!$B$9*LN('dati nascosti'!$B$12/'dati nascosti'!$B$11)),'dati nascosti'!$B$10^2*'dati nascosti'!$B$9*LN(P44/'dati nascosti'!$B$11)*(7+'dati nascosti'!$B$9*LN(P44/'dati nascosti'!$B$11)))</f>
        <v>1.6342119731764906</v>
      </c>
      <c r="R44" s="2">
        <f>'dati nascosti'!$B$19*Q44*'dati nascosti'!$B$13*'dati nascosti'!$B$14/1000</f>
        <v>0.76986188880277173</v>
      </c>
      <c r="S44" s="2">
        <f>'dati nascosti'!$B$19*Q44*'dati nascosti'!$B$13*'dati nascosti'!$B$15/1000</f>
        <v>0.36953370662533047</v>
      </c>
      <c r="X44" s="66"/>
      <c r="Y44" s="276" t="s">
        <v>173</v>
      </c>
      <c r="Z44" s="276"/>
      <c r="AA44" s="276"/>
      <c r="AB44" s="276"/>
      <c r="AC44" s="276"/>
      <c r="AD44" s="276"/>
      <c r="AE44" s="158"/>
      <c r="AF44"/>
      <c r="AG44"/>
    </row>
    <row r="45" spans="1:33" x14ac:dyDescent="0.25">
      <c r="I45" s="2"/>
      <c r="J45" s="6"/>
      <c r="K45" s="5"/>
      <c r="L45" s="5"/>
      <c r="M45" s="39">
        <f t="shared" si="1"/>
        <v>40</v>
      </c>
      <c r="N45" s="6"/>
      <c r="O45" s="1">
        <f t="shared" si="2"/>
        <v>41</v>
      </c>
      <c r="P45" s="4">
        <f>'dati nascosti'!$B$4/70*O45</f>
        <v>3.5142857142857142</v>
      </c>
      <c r="Q45" s="3">
        <f>IF(P45&lt;'dati nascosti'!$B$12,'dati nascosti'!$B$10^2*'dati nascosti'!$B$9*LN('dati nascosti'!$B$12/'dati nascosti'!$B$11)*(7+'dati nascosti'!$B$9*LN('dati nascosti'!$B$12/'dati nascosti'!$B$11)),'dati nascosti'!$B$10^2*'dati nascosti'!$B$9*LN(P45/'dati nascosti'!$B$11)*(7+'dati nascosti'!$B$9*LN(P45/'dati nascosti'!$B$11)))</f>
        <v>1.6342119731764906</v>
      </c>
      <c r="R45" s="2">
        <f>'dati nascosti'!$B$19*Q45*'dati nascosti'!$B$13*'dati nascosti'!$B$14/1000</f>
        <v>0.76986188880277173</v>
      </c>
      <c r="S45" s="2">
        <f>'dati nascosti'!$B$19*Q45*'dati nascosti'!$B$13*'dati nascosti'!$B$15/1000</f>
        <v>0.36953370662533047</v>
      </c>
      <c r="X45" s="66"/>
      <c r="Y45" s="274" t="s">
        <v>166</v>
      </c>
      <c r="Z45" s="275"/>
      <c r="AA45" s="165" t="s">
        <v>168</v>
      </c>
      <c r="AB45" s="166"/>
      <c r="AC45" s="134"/>
      <c r="AD45" s="26"/>
      <c r="AE45" s="158"/>
      <c r="AF45"/>
      <c r="AG45"/>
    </row>
    <row r="46" spans="1:33" x14ac:dyDescent="0.25">
      <c r="B46" s="51" t="s">
        <v>134</v>
      </c>
      <c r="C46" s="44"/>
      <c r="D46" s="44"/>
      <c r="E46" s="44"/>
      <c r="F46" s="44"/>
      <c r="G46" s="44"/>
      <c r="I46" s="2"/>
      <c r="J46" s="6"/>
      <c r="K46" s="5"/>
      <c r="L46" s="5"/>
      <c r="M46" s="39">
        <f t="shared" si="1"/>
        <v>41</v>
      </c>
      <c r="N46" s="6"/>
      <c r="O46" s="1">
        <f t="shared" si="2"/>
        <v>42</v>
      </c>
      <c r="P46" s="4">
        <f>'dati nascosti'!$B$4/70*O46</f>
        <v>3.6</v>
      </c>
      <c r="Q46" s="3">
        <f>IF(P46&lt;'dati nascosti'!$B$12,'dati nascosti'!$B$10^2*'dati nascosti'!$B$9*LN('dati nascosti'!$B$12/'dati nascosti'!$B$11)*(7+'dati nascosti'!$B$9*LN('dati nascosti'!$B$12/'dati nascosti'!$B$11)),'dati nascosti'!$B$10^2*'dati nascosti'!$B$9*LN(P46/'dati nascosti'!$B$11)*(7+'dati nascosti'!$B$9*LN(P46/'dati nascosti'!$B$11)))</f>
        <v>1.6342119731764906</v>
      </c>
      <c r="R46" s="2">
        <f>'dati nascosti'!$B$19*Q46*'dati nascosti'!$B$13*'dati nascosti'!$B$14/1000</f>
        <v>0.76986188880277173</v>
      </c>
      <c r="S46" s="2">
        <f>'dati nascosti'!$B$19*Q46*'dati nascosti'!$B$13*'dati nascosti'!$B$15/1000</f>
        <v>0.36953370662533047</v>
      </c>
      <c r="X46" s="66"/>
      <c r="Y46" s="130">
        <v>2</v>
      </c>
      <c r="Z46" s="161">
        <v>0.5</v>
      </c>
      <c r="AA46" s="130">
        <v>10000</v>
      </c>
      <c r="AB46" s="167"/>
      <c r="AC46" s="26"/>
      <c r="AD46" s="32"/>
      <c r="AE46" s="158"/>
      <c r="AF46"/>
      <c r="AG46"/>
    </row>
    <row r="47" spans="1:33" x14ac:dyDescent="0.25">
      <c r="B47" s="44"/>
      <c r="C47" s="44"/>
      <c r="D47" s="44"/>
      <c r="E47" s="44"/>
      <c r="F47" s="44"/>
      <c r="G47" s="44"/>
      <c r="I47" s="2"/>
      <c r="J47" s="6"/>
      <c r="K47" s="5"/>
      <c r="L47" s="5"/>
      <c r="M47" s="39">
        <f t="shared" si="1"/>
        <v>42</v>
      </c>
      <c r="N47" s="6"/>
      <c r="O47" s="1">
        <f t="shared" si="2"/>
        <v>43</v>
      </c>
      <c r="P47" s="4">
        <f>'dati nascosti'!$B$4/70*O47</f>
        <v>3.6857142857142859</v>
      </c>
      <c r="Q47" s="3">
        <f>IF(P47&lt;'dati nascosti'!$B$12,'dati nascosti'!$B$10^2*'dati nascosti'!$B$9*LN('dati nascosti'!$B$12/'dati nascosti'!$B$11)*(7+'dati nascosti'!$B$9*LN('dati nascosti'!$B$12/'dati nascosti'!$B$11)),'dati nascosti'!$B$10^2*'dati nascosti'!$B$9*LN(P47/'dati nascosti'!$B$11)*(7+'dati nascosti'!$B$9*LN(P47/'dati nascosti'!$B$11)))</f>
        <v>1.6342119731764906</v>
      </c>
      <c r="R47" s="2">
        <f>'dati nascosti'!$B$19*Q47*'dati nascosti'!$B$13*'dati nascosti'!$B$14/1000</f>
        <v>0.76986188880277173</v>
      </c>
      <c r="S47" s="2">
        <f>'dati nascosti'!$B$19*Q47*'dati nascosti'!$B$13*'dati nascosti'!$B$15/1000</f>
        <v>0.36953370662533047</v>
      </c>
      <c r="X47" s="130" t="s">
        <v>51</v>
      </c>
      <c r="Y47" s="163" t="s">
        <v>169</v>
      </c>
      <c r="Z47" s="163" t="s">
        <v>169</v>
      </c>
      <c r="AA47" s="159" t="s">
        <v>65</v>
      </c>
      <c r="AB47" s="66"/>
      <c r="AC47"/>
      <c r="AD47"/>
      <c r="AE47" s="158"/>
      <c r="AF47"/>
      <c r="AG47"/>
    </row>
    <row r="48" spans="1:33" ht="17.25" x14ac:dyDescent="0.25">
      <c r="B48" s="281" t="s">
        <v>30</v>
      </c>
      <c r="C48" s="281"/>
      <c r="D48" s="281"/>
      <c r="E48" s="49" t="s">
        <v>92</v>
      </c>
      <c r="F48" s="50">
        <f>'CALCOLO DEL VENTO'!E91*'CALCOLO DEL VENTO'!F175*'CALCOLO DEL VENTO'!F161*1/1000</f>
        <v>0.80193946750288725</v>
      </c>
      <c r="G48" s="49" t="s">
        <v>0</v>
      </c>
      <c r="I48" s="2"/>
      <c r="J48" s="6"/>
      <c r="K48" s="5"/>
      <c r="L48" s="5"/>
      <c r="M48" s="39">
        <f t="shared" si="1"/>
        <v>43</v>
      </c>
      <c r="N48" s="6"/>
      <c r="O48" s="1">
        <f t="shared" si="2"/>
        <v>44</v>
      </c>
      <c r="P48" s="4">
        <f>'dati nascosti'!$B$4/70*O48</f>
        <v>3.7714285714285714</v>
      </c>
      <c r="Q48" s="3">
        <f>IF(P48&lt;'dati nascosti'!$B$12,'dati nascosti'!$B$10^2*'dati nascosti'!$B$9*LN('dati nascosti'!$B$12/'dati nascosti'!$B$11)*(7+'dati nascosti'!$B$9*LN('dati nascosti'!$B$12/'dati nascosti'!$B$11)),'dati nascosti'!$B$10^2*'dati nascosti'!$B$9*LN(P48/'dati nascosti'!$B$11)*(7+'dati nascosti'!$B$9*LN(P48/'dati nascosti'!$B$11)))</f>
        <v>1.6342119731764906</v>
      </c>
      <c r="R48" s="2">
        <f>'dati nascosti'!$B$19*Q48*'dati nascosti'!$B$13*'dati nascosti'!$B$14/1000</f>
        <v>0.76986188880277173</v>
      </c>
      <c r="S48" s="2">
        <f>'dati nascosti'!$B$19*Q48*'dati nascosti'!$B$13*'dati nascosti'!$B$15/1000</f>
        <v>0.36953370662533047</v>
      </c>
      <c r="X48" s="130" t="s">
        <v>53</v>
      </c>
      <c r="Y48" s="163" t="s">
        <v>169</v>
      </c>
      <c r="Z48" s="163" t="s">
        <v>169</v>
      </c>
      <c r="AA48" s="159" t="s">
        <v>65</v>
      </c>
      <c r="AB48" s="66"/>
      <c r="AC48"/>
      <c r="AD48"/>
      <c r="AE48" s="158"/>
      <c r="AF48"/>
      <c r="AG48"/>
    </row>
    <row r="49" spans="2:33" ht="17.25" x14ac:dyDescent="0.25">
      <c r="B49" s="281" t="s">
        <v>31</v>
      </c>
      <c r="C49" s="281"/>
      <c r="D49" s="281"/>
      <c r="E49" s="49" t="s">
        <v>93</v>
      </c>
      <c r="F49" s="50">
        <f>'CALCOLO DEL VENTO'!E91*'CALCOLO DEL VENTO'!F176*'CALCOLO DEL VENTO'!F161*1/1000</f>
        <v>0.80193946750288725</v>
      </c>
      <c r="G49" s="49" t="s">
        <v>0</v>
      </c>
      <c r="I49" s="2"/>
      <c r="J49" s="6"/>
      <c r="K49" s="5"/>
      <c r="L49" s="5"/>
      <c r="M49" s="39">
        <f t="shared" si="1"/>
        <v>44</v>
      </c>
      <c r="N49" s="6"/>
      <c r="O49" s="1">
        <f t="shared" si="2"/>
        <v>45</v>
      </c>
      <c r="P49" s="4">
        <f>'dati nascosti'!$B$4/70*O49</f>
        <v>3.8571428571428572</v>
      </c>
      <c r="Q49" s="3">
        <f>IF(P49&lt;'dati nascosti'!$B$12,'dati nascosti'!$B$10^2*'dati nascosti'!$B$9*LN('dati nascosti'!$B$12/'dati nascosti'!$B$11)*(7+'dati nascosti'!$B$9*LN('dati nascosti'!$B$12/'dati nascosti'!$B$11)),'dati nascosti'!$B$10^2*'dati nascosti'!$B$9*LN(P49/'dati nascosti'!$B$11)*(7+'dati nascosti'!$B$9*LN(P49/'dati nascosti'!$B$11)))</f>
        <v>1.6342119731764906</v>
      </c>
      <c r="R49" s="2">
        <f>'dati nascosti'!$B$19*Q49*'dati nascosti'!$B$13*'dati nascosti'!$B$14/1000</f>
        <v>0.76986188880277173</v>
      </c>
      <c r="S49" s="2">
        <f>'dati nascosti'!$B$19*Q49*'dati nascosti'!$B$13*'dati nascosti'!$B$15/1000</f>
        <v>0.36953370662533047</v>
      </c>
      <c r="X49" s="130" t="s">
        <v>55</v>
      </c>
      <c r="Y49" s="163" t="s">
        <v>169</v>
      </c>
      <c r="Z49" s="163" t="s">
        <v>169</v>
      </c>
      <c r="AA49" s="159" t="s">
        <v>64</v>
      </c>
      <c r="AB49" s="66"/>
      <c r="AC49"/>
      <c r="AD49"/>
      <c r="AE49" s="158"/>
      <c r="AF49"/>
      <c r="AG49"/>
    </row>
    <row r="50" spans="2:33" x14ac:dyDescent="0.25">
      <c r="I50" s="2"/>
      <c r="J50" s="6"/>
      <c r="K50" s="5"/>
      <c r="L50" s="5"/>
      <c r="M50" s="39">
        <f t="shared" si="1"/>
        <v>45</v>
      </c>
      <c r="N50" s="6"/>
      <c r="O50" s="1">
        <f t="shared" si="2"/>
        <v>46</v>
      </c>
      <c r="P50" s="4">
        <f>'dati nascosti'!$B$4/70*O50</f>
        <v>3.9428571428571431</v>
      </c>
      <c r="Q50" s="3">
        <f>IF(P50&lt;'dati nascosti'!$B$12,'dati nascosti'!$B$10^2*'dati nascosti'!$B$9*LN('dati nascosti'!$B$12/'dati nascosti'!$B$11)*(7+'dati nascosti'!$B$9*LN('dati nascosti'!$B$12/'dati nascosti'!$B$11)),'dati nascosti'!$B$10^2*'dati nascosti'!$B$9*LN(P50/'dati nascosti'!$B$11)*(7+'dati nascosti'!$B$9*LN(P50/'dati nascosti'!$B$11)))</f>
        <v>1.6342119731764906</v>
      </c>
      <c r="R50" s="2">
        <f>'dati nascosti'!$B$19*Q50*'dati nascosti'!$B$13*'dati nascosti'!$B$14/1000</f>
        <v>0.76986188880277173</v>
      </c>
      <c r="S50" s="2">
        <f>'dati nascosti'!$B$19*Q50*'dati nascosti'!$B$13*'dati nascosti'!$B$15/1000</f>
        <v>0.36953370662533047</v>
      </c>
      <c r="X50" s="130" t="s">
        <v>57</v>
      </c>
      <c r="Y50" s="163" t="s">
        <v>62</v>
      </c>
      <c r="Z50" s="163" t="s">
        <v>63</v>
      </c>
      <c r="AA50" s="159" t="s">
        <v>64</v>
      </c>
      <c r="AB50" s="66"/>
      <c r="AC50"/>
      <c r="AD50"/>
      <c r="AE50" s="158"/>
      <c r="AF50"/>
      <c r="AG50"/>
    </row>
    <row r="51" spans="2:33" x14ac:dyDescent="0.25">
      <c r="I51" s="2"/>
      <c r="J51" s="6"/>
      <c r="K51" s="5"/>
      <c r="L51" s="5"/>
      <c r="M51" s="39">
        <f t="shared" si="1"/>
        <v>46</v>
      </c>
      <c r="N51" s="6"/>
      <c r="O51" s="1">
        <f t="shared" si="2"/>
        <v>47</v>
      </c>
      <c r="P51" s="4">
        <f>'dati nascosti'!$B$4/70*O51</f>
        <v>4.0285714285714285</v>
      </c>
      <c r="Q51" s="3">
        <f>IF(P51&lt;'dati nascosti'!$B$12,'dati nascosti'!$B$10^2*'dati nascosti'!$B$9*LN('dati nascosti'!$B$12/'dati nascosti'!$B$11)*(7+'dati nascosti'!$B$9*LN('dati nascosti'!$B$12/'dati nascosti'!$B$11)),'dati nascosti'!$B$10^2*'dati nascosti'!$B$9*LN(P51/'dati nascosti'!$B$11)*(7+'dati nascosti'!$B$9*LN(P51/'dati nascosti'!$B$11)))</f>
        <v>1.6342119731764906</v>
      </c>
      <c r="R51" s="2">
        <f>'dati nascosti'!$B$19*Q51*'dati nascosti'!$B$13*'dati nascosti'!$B$14/1000</f>
        <v>0.76986188880277173</v>
      </c>
      <c r="S51" s="2">
        <f>'dati nascosti'!$B$19*Q51*'dati nascosti'!$B$13*'dati nascosti'!$B$15/1000</f>
        <v>0.36953370662533047</v>
      </c>
      <c r="X51" s="66"/>
      <c r="Y51" s="276" t="s">
        <v>174</v>
      </c>
      <c r="Z51" s="276"/>
      <c r="AA51" s="276"/>
      <c r="AB51" s="276"/>
      <c r="AC51" s="276"/>
      <c r="AD51" s="276"/>
      <c r="AE51" s="158"/>
      <c r="AF51"/>
      <c r="AG51"/>
    </row>
    <row r="52" spans="2:33" x14ac:dyDescent="0.25">
      <c r="B52" s="101">
        <f>'CALCOLO DEL VENTO'!F35</f>
        <v>6</v>
      </c>
      <c r="C52" s="146"/>
      <c r="I52" s="2"/>
      <c r="J52" s="6"/>
      <c r="K52" s="5"/>
      <c r="L52" s="5"/>
      <c r="M52" s="39">
        <f t="shared" si="1"/>
        <v>47</v>
      </c>
      <c r="N52" s="6"/>
      <c r="O52" s="1">
        <f t="shared" si="2"/>
        <v>48</v>
      </c>
      <c r="P52" s="4">
        <f>'dati nascosti'!$B$4/70*O52</f>
        <v>4.1142857142857139</v>
      </c>
      <c r="Q52" s="3">
        <f>IF(P52&lt;'dati nascosti'!$B$12,'dati nascosti'!$B$10^2*'dati nascosti'!$B$9*LN('dati nascosti'!$B$12/'dati nascosti'!$B$11)*(7+'dati nascosti'!$B$9*LN('dati nascosti'!$B$12/'dati nascosti'!$B$11)),'dati nascosti'!$B$10^2*'dati nascosti'!$B$9*LN(P52/'dati nascosti'!$B$11)*(7+'dati nascosti'!$B$9*LN(P52/'dati nascosti'!$B$11)))</f>
        <v>1.6342119731764906</v>
      </c>
      <c r="R52" s="2">
        <f>'dati nascosti'!$B$19*Q52*'dati nascosti'!$B$13*'dati nascosti'!$B$14/1000</f>
        <v>0.76986188880277173</v>
      </c>
      <c r="S52" s="2">
        <f>'dati nascosti'!$B$19*Q52*'dati nascosti'!$B$13*'dati nascosti'!$B$15/1000</f>
        <v>0.36953370662533047</v>
      </c>
      <c r="X52" s="66"/>
      <c r="Y52" s="274" t="s">
        <v>166</v>
      </c>
      <c r="Z52" s="275"/>
      <c r="AA52" s="168" t="s">
        <v>168</v>
      </c>
      <c r="AB52" s="169"/>
      <c r="AC52" s="134"/>
      <c r="AD52" s="26"/>
      <c r="AE52" s="158"/>
      <c r="AF52"/>
      <c r="AG52"/>
    </row>
    <row r="53" spans="2:33" x14ac:dyDescent="0.25">
      <c r="B53" s="101">
        <f>'CALCOLO DEL VENTO'!C67</f>
        <v>9</v>
      </c>
      <c r="C53" s="146"/>
      <c r="I53" s="2"/>
      <c r="J53" s="6"/>
      <c r="K53" s="5"/>
      <c r="L53" s="5"/>
      <c r="M53" s="39">
        <f t="shared" si="1"/>
        <v>48</v>
      </c>
      <c r="N53" s="6"/>
      <c r="O53" s="1">
        <f t="shared" si="2"/>
        <v>49</v>
      </c>
      <c r="P53" s="4">
        <f>'dati nascosti'!$B$4/70*O53</f>
        <v>4.2</v>
      </c>
      <c r="Q53" s="3">
        <f>IF(P53&lt;'dati nascosti'!$B$12,'dati nascosti'!$B$10^2*'dati nascosti'!$B$9*LN('dati nascosti'!$B$12/'dati nascosti'!$B$11)*(7+'dati nascosti'!$B$9*LN('dati nascosti'!$B$12/'dati nascosti'!$B$11)),'dati nascosti'!$B$10^2*'dati nascosti'!$B$9*LN(P53/'dati nascosti'!$B$11)*(7+'dati nascosti'!$B$9*LN(P53/'dati nascosti'!$B$11)))</f>
        <v>1.6342119731764906</v>
      </c>
      <c r="R53" s="2">
        <f>'dati nascosti'!$B$19*Q53*'dati nascosti'!$B$13*'dati nascosti'!$B$14/1000</f>
        <v>0.76986188880277173</v>
      </c>
      <c r="S53" s="2">
        <f>'dati nascosti'!$B$19*Q53*'dati nascosti'!$B$13*'dati nascosti'!$B$15/1000</f>
        <v>0.36953370662533047</v>
      </c>
      <c r="X53" s="66"/>
      <c r="Y53" s="130">
        <v>2</v>
      </c>
      <c r="Z53" s="161">
        <v>0.5</v>
      </c>
      <c r="AA53" s="130">
        <v>10000</v>
      </c>
      <c r="AB53" s="167"/>
      <c r="AC53" s="26"/>
      <c r="AD53" s="32"/>
      <c r="AE53" s="158"/>
      <c r="AF53"/>
      <c r="AG53"/>
    </row>
    <row r="54" spans="2:33" x14ac:dyDescent="0.25">
      <c r="B54" s="101">
        <f>'CALCOLO DEL VENTO'!C67</f>
        <v>9</v>
      </c>
      <c r="C54" s="146"/>
      <c r="I54" s="2"/>
      <c r="J54" s="6"/>
      <c r="K54" s="5"/>
      <c r="L54" s="5"/>
      <c r="M54" s="39">
        <f t="shared" si="1"/>
        <v>49</v>
      </c>
      <c r="N54" s="6"/>
      <c r="O54" s="1">
        <f t="shared" si="2"/>
        <v>50</v>
      </c>
      <c r="P54" s="4">
        <f>'dati nascosti'!$B$4/70*O54</f>
        <v>4.2857142857142856</v>
      </c>
      <c r="Q54" s="3">
        <f>IF(P54&lt;'dati nascosti'!$B$12,'dati nascosti'!$B$10^2*'dati nascosti'!$B$9*LN('dati nascosti'!$B$12/'dati nascosti'!$B$11)*(7+'dati nascosti'!$B$9*LN('dati nascosti'!$B$12/'dati nascosti'!$B$11)),'dati nascosti'!$B$10^2*'dati nascosti'!$B$9*LN(P54/'dati nascosti'!$B$11)*(7+'dati nascosti'!$B$9*LN(P54/'dati nascosti'!$B$11)))</f>
        <v>1.6342119731764906</v>
      </c>
      <c r="R54" s="2">
        <f>'dati nascosti'!$B$19*Q54*'dati nascosti'!$B$13*'dati nascosti'!$B$14/1000</f>
        <v>0.76986188880277173</v>
      </c>
      <c r="S54" s="2">
        <f>'dati nascosti'!$B$19*Q54*'dati nascosti'!$B$13*'dati nascosti'!$B$15/1000</f>
        <v>0.36953370662533047</v>
      </c>
      <c r="X54" s="130" t="s">
        <v>51</v>
      </c>
      <c r="Y54" s="163" t="s">
        <v>169</v>
      </c>
      <c r="Z54" s="163" t="s">
        <v>169</v>
      </c>
      <c r="AA54" s="159" t="s">
        <v>65</v>
      </c>
      <c r="AB54" s="66"/>
      <c r="AC54"/>
      <c r="AD54"/>
      <c r="AE54" s="158"/>
      <c r="AF54"/>
      <c r="AG54"/>
    </row>
    <row r="55" spans="2:33" x14ac:dyDescent="0.25">
      <c r="B55" s="101">
        <f>'CALCOLO DEL VENTO'!F35</f>
        <v>6</v>
      </c>
      <c r="C55" s="146"/>
      <c r="I55" s="2"/>
      <c r="J55" s="6"/>
      <c r="K55" s="5"/>
      <c r="L55" s="5"/>
      <c r="M55" s="39">
        <f t="shared" si="1"/>
        <v>50</v>
      </c>
      <c r="N55" s="6"/>
      <c r="O55" s="1">
        <f t="shared" si="2"/>
        <v>51</v>
      </c>
      <c r="P55" s="4">
        <f>'dati nascosti'!$B$4/70*O55</f>
        <v>4.3714285714285719</v>
      </c>
      <c r="Q55" s="3">
        <f>IF(P55&lt;'dati nascosti'!$B$12,'dati nascosti'!$B$10^2*'dati nascosti'!$B$9*LN('dati nascosti'!$B$12/'dati nascosti'!$B$11)*(7+'dati nascosti'!$B$9*LN('dati nascosti'!$B$12/'dati nascosti'!$B$11)),'dati nascosti'!$B$10^2*'dati nascosti'!$B$9*LN(P55/'dati nascosti'!$B$11)*(7+'dati nascosti'!$B$9*LN(P55/'dati nascosti'!$B$11)))</f>
        <v>1.6342119731764906</v>
      </c>
      <c r="R55" s="2">
        <f>'dati nascosti'!$B$19*Q55*'dati nascosti'!$B$13*'dati nascosti'!$B$14/1000</f>
        <v>0.76986188880277173</v>
      </c>
      <c r="S55" s="2">
        <f>'dati nascosti'!$B$19*Q55*'dati nascosti'!$B$13*'dati nascosti'!$B$15/1000</f>
        <v>0.36953370662533047</v>
      </c>
      <c r="X55" s="130" t="s">
        <v>53</v>
      </c>
      <c r="Y55" s="163" t="s">
        <v>169</v>
      </c>
      <c r="Z55" s="163" t="s">
        <v>169</v>
      </c>
      <c r="AA55" s="159" t="s">
        <v>65</v>
      </c>
      <c r="AB55" s="66"/>
      <c r="AC55"/>
      <c r="AD55"/>
      <c r="AE55" s="158"/>
      <c r="AF55"/>
      <c r="AG55"/>
    </row>
    <row r="56" spans="2:33" x14ac:dyDescent="0.25">
      <c r="I56" s="2"/>
      <c r="J56" s="6"/>
      <c r="K56" s="5"/>
      <c r="L56" s="5"/>
      <c r="M56" s="39">
        <f t="shared" si="1"/>
        <v>51</v>
      </c>
      <c r="N56" s="6"/>
      <c r="O56" s="1">
        <f t="shared" si="2"/>
        <v>52</v>
      </c>
      <c r="P56" s="4">
        <f>'dati nascosti'!$B$4/70*O56</f>
        <v>4.4571428571428573</v>
      </c>
      <c r="Q56" s="3">
        <f>IF(P56&lt;'dati nascosti'!$B$12,'dati nascosti'!$B$10^2*'dati nascosti'!$B$9*LN('dati nascosti'!$B$12/'dati nascosti'!$B$11)*(7+'dati nascosti'!$B$9*LN('dati nascosti'!$B$12/'dati nascosti'!$B$11)),'dati nascosti'!$B$10^2*'dati nascosti'!$B$9*LN(P56/'dati nascosti'!$B$11)*(7+'dati nascosti'!$B$9*LN(P56/'dati nascosti'!$B$11)))</f>
        <v>1.6342119731764906</v>
      </c>
      <c r="R56" s="2">
        <f>'dati nascosti'!$B$19*Q56*'dati nascosti'!$B$13*'dati nascosti'!$B$14/1000</f>
        <v>0.76986188880277173</v>
      </c>
      <c r="S56" s="2">
        <f>'dati nascosti'!$B$19*Q56*'dati nascosti'!$B$13*'dati nascosti'!$B$15/1000</f>
        <v>0.36953370662533047</v>
      </c>
      <c r="X56" s="130" t="s">
        <v>55</v>
      </c>
      <c r="Y56" s="163" t="s">
        <v>169</v>
      </c>
      <c r="Z56" s="163" t="s">
        <v>169</v>
      </c>
      <c r="AA56" s="159" t="s">
        <v>64</v>
      </c>
      <c r="AB56" s="66"/>
      <c r="AC56"/>
      <c r="AD56"/>
      <c r="AE56" s="158"/>
      <c r="AF56"/>
      <c r="AG56"/>
    </row>
    <row r="57" spans="2:33" x14ac:dyDescent="0.25">
      <c r="I57" s="2"/>
      <c r="J57" s="6"/>
      <c r="K57" s="5"/>
      <c r="L57" s="5"/>
      <c r="M57" s="39">
        <f t="shared" si="1"/>
        <v>52</v>
      </c>
      <c r="N57" s="6"/>
      <c r="O57" s="1">
        <f t="shared" si="2"/>
        <v>53</v>
      </c>
      <c r="P57" s="4">
        <f>'dati nascosti'!$B$4/70*O57</f>
        <v>4.5428571428571427</v>
      </c>
      <c r="Q57" s="3">
        <f>IF(P57&lt;'dati nascosti'!$B$12,'dati nascosti'!$B$10^2*'dati nascosti'!$B$9*LN('dati nascosti'!$B$12/'dati nascosti'!$B$11)*(7+'dati nascosti'!$B$9*LN('dati nascosti'!$B$12/'dati nascosti'!$B$11)),'dati nascosti'!$B$10^2*'dati nascosti'!$B$9*LN(P57/'dati nascosti'!$B$11)*(7+'dati nascosti'!$B$9*LN(P57/'dati nascosti'!$B$11)))</f>
        <v>1.6342119731764906</v>
      </c>
      <c r="R57" s="2">
        <f>'dati nascosti'!$B$19*Q57*'dati nascosti'!$B$13*'dati nascosti'!$B$14/1000</f>
        <v>0.76986188880277173</v>
      </c>
      <c r="S57" s="2">
        <f>'dati nascosti'!$B$19*Q57*'dati nascosti'!$B$13*'dati nascosti'!$B$15/1000</f>
        <v>0.36953370662533047</v>
      </c>
      <c r="X57" s="130" t="s">
        <v>57</v>
      </c>
      <c r="Y57" s="163" t="s">
        <v>62</v>
      </c>
      <c r="Z57" s="163" t="s">
        <v>63</v>
      </c>
      <c r="AA57" s="159" t="s">
        <v>63</v>
      </c>
      <c r="AB57" s="66"/>
      <c r="AC57"/>
      <c r="AD57"/>
      <c r="AE57" s="158"/>
      <c r="AF57"/>
      <c r="AG57"/>
    </row>
    <row r="58" spans="2:33" x14ac:dyDescent="0.25">
      <c r="I58" s="2"/>
      <c r="J58" s="6"/>
      <c r="K58" s="5"/>
      <c r="L58" s="5"/>
      <c r="M58" s="39">
        <f t="shared" si="1"/>
        <v>53</v>
      </c>
      <c r="N58" s="6"/>
      <c r="O58" s="1">
        <f t="shared" si="2"/>
        <v>54</v>
      </c>
      <c r="P58" s="4">
        <f>'dati nascosti'!$B$4/70*O58</f>
        <v>4.628571428571429</v>
      </c>
      <c r="Q58" s="3">
        <f>IF(P58&lt;'dati nascosti'!$B$12,'dati nascosti'!$B$10^2*'dati nascosti'!$B$9*LN('dati nascosti'!$B$12/'dati nascosti'!$B$11)*(7+'dati nascosti'!$B$9*LN('dati nascosti'!$B$12/'dati nascosti'!$B$11)),'dati nascosti'!$B$10^2*'dati nascosti'!$B$9*LN(P58/'dati nascosti'!$B$11)*(7+'dati nascosti'!$B$9*LN(P58/'dati nascosti'!$B$11)))</f>
        <v>1.6342119731764906</v>
      </c>
      <c r="R58" s="2">
        <f>'dati nascosti'!$B$19*Q58*'dati nascosti'!$B$13*'dati nascosti'!$B$14/1000</f>
        <v>0.76986188880277173</v>
      </c>
      <c r="S58" s="2">
        <f>'dati nascosti'!$B$19*Q58*'dati nascosti'!$B$13*'dati nascosti'!$B$15/1000</f>
        <v>0.36953370662533047</v>
      </c>
      <c r="X58" s="66"/>
      <c r="Y58" s="276" t="s">
        <v>175</v>
      </c>
      <c r="Z58" s="276"/>
      <c r="AA58" s="276"/>
      <c r="AB58" s="276"/>
      <c r="AC58" s="276"/>
      <c r="AD58" s="276"/>
      <c r="AE58" s="158"/>
      <c r="AF58"/>
      <c r="AG58"/>
    </row>
    <row r="59" spans="2:33" x14ac:dyDescent="0.25">
      <c r="I59" s="2"/>
      <c r="J59" s="6"/>
      <c r="K59" s="5"/>
      <c r="L59" s="5"/>
      <c r="M59" s="39">
        <f t="shared" si="1"/>
        <v>54</v>
      </c>
      <c r="N59" s="6"/>
      <c r="O59" s="1">
        <f t="shared" si="2"/>
        <v>55</v>
      </c>
      <c r="P59" s="4">
        <f>'dati nascosti'!$B$4/70*O59</f>
        <v>4.7142857142857144</v>
      </c>
      <c r="Q59" s="3">
        <f>IF(P59&lt;'dati nascosti'!$B$12,'dati nascosti'!$B$10^2*'dati nascosti'!$B$9*LN('dati nascosti'!$B$12/'dati nascosti'!$B$11)*(7+'dati nascosti'!$B$9*LN('dati nascosti'!$B$12/'dati nascosti'!$B$11)),'dati nascosti'!$B$10^2*'dati nascosti'!$B$9*LN(P59/'dati nascosti'!$B$11)*(7+'dati nascosti'!$B$9*LN(P59/'dati nascosti'!$B$11)))</f>
        <v>1.6342119731764906</v>
      </c>
      <c r="R59" s="2">
        <f>'dati nascosti'!$B$19*Q59*'dati nascosti'!$B$13*'dati nascosti'!$B$14/1000</f>
        <v>0.76986188880277173</v>
      </c>
      <c r="S59" s="2">
        <f>'dati nascosti'!$B$19*Q59*'dati nascosti'!$B$13*'dati nascosti'!$B$15/1000</f>
        <v>0.36953370662533047</v>
      </c>
      <c r="X59" s="66"/>
      <c r="Y59" s="274"/>
      <c r="Z59" s="275"/>
      <c r="AA59" s="166"/>
      <c r="AB59" s="134"/>
      <c r="AC59" s="134"/>
      <c r="AD59" s="26"/>
      <c r="AE59" s="158"/>
      <c r="AF59"/>
      <c r="AG59"/>
    </row>
    <row r="60" spans="2:33" x14ac:dyDescent="0.25">
      <c r="I60" s="2"/>
      <c r="J60" s="6"/>
      <c r="K60" s="5"/>
      <c r="L60" s="5"/>
      <c r="M60" s="39">
        <f t="shared" si="1"/>
        <v>55</v>
      </c>
      <c r="N60" s="6"/>
      <c r="O60" s="1">
        <f t="shared" si="2"/>
        <v>56</v>
      </c>
      <c r="P60" s="4">
        <f>'dati nascosti'!$B$4/70*O60</f>
        <v>4.8</v>
      </c>
      <c r="Q60" s="3">
        <f>IF(P60&lt;'dati nascosti'!$B$12,'dati nascosti'!$B$10^2*'dati nascosti'!$B$9*LN('dati nascosti'!$B$12/'dati nascosti'!$B$11)*(7+'dati nascosti'!$B$9*LN('dati nascosti'!$B$12/'dati nascosti'!$B$11)),'dati nascosti'!$B$10^2*'dati nascosti'!$B$9*LN(P60/'dati nascosti'!$B$11)*(7+'dati nascosti'!$B$9*LN(P60/'dati nascosti'!$B$11)))</f>
        <v>1.6342119731764906</v>
      </c>
      <c r="R60" s="2">
        <f>'dati nascosti'!$B$19*Q60*'dati nascosti'!$B$13*'dati nascosti'!$B$14/1000</f>
        <v>0.76986188880277173</v>
      </c>
      <c r="S60" s="2">
        <f>'dati nascosti'!$B$19*Q60*'dati nascosti'!$B$13*'dati nascosti'!$B$15/1000</f>
        <v>0.36953370662533047</v>
      </c>
      <c r="X60" s="66"/>
      <c r="Y60" s="130" t="s">
        <v>176</v>
      </c>
      <c r="Z60" s="161" t="s">
        <v>177</v>
      </c>
      <c r="AA60" s="170"/>
      <c r="AB60" s="32"/>
      <c r="AC60" s="26"/>
      <c r="AD60" s="32"/>
      <c r="AE60" s="158"/>
      <c r="AF60"/>
      <c r="AG60"/>
    </row>
    <row r="61" spans="2:33" x14ac:dyDescent="0.25">
      <c r="I61" s="2"/>
      <c r="J61" s="6"/>
      <c r="K61" s="5"/>
      <c r="L61" s="5"/>
      <c r="M61" s="39">
        <f t="shared" si="1"/>
        <v>56</v>
      </c>
      <c r="N61" s="6"/>
      <c r="O61" s="1">
        <f t="shared" si="2"/>
        <v>57</v>
      </c>
      <c r="P61" s="4">
        <f>'dati nascosti'!$B$4/70*O61</f>
        <v>4.8857142857142861</v>
      </c>
      <c r="Q61" s="3">
        <f>IF(P61&lt;'dati nascosti'!$B$12,'dati nascosti'!$B$10^2*'dati nascosti'!$B$9*LN('dati nascosti'!$B$12/'dati nascosti'!$B$11)*(7+'dati nascosti'!$B$9*LN('dati nascosti'!$B$12/'dati nascosti'!$B$11)),'dati nascosti'!$B$10^2*'dati nascosti'!$B$9*LN(P61/'dati nascosti'!$B$11)*(7+'dati nascosti'!$B$9*LN(P61/'dati nascosti'!$B$11)))</f>
        <v>1.6342119731764906</v>
      </c>
      <c r="R61" s="2">
        <f>'dati nascosti'!$B$19*Q61*'dati nascosti'!$B$13*'dati nascosti'!$B$14/1000</f>
        <v>0.76986188880277173</v>
      </c>
      <c r="S61" s="2">
        <f>'dati nascosti'!$B$19*Q61*'dati nascosti'!$B$13*'dati nascosti'!$B$15/1000</f>
        <v>0.36953370662533047</v>
      </c>
      <c r="X61" s="130" t="s">
        <v>51</v>
      </c>
      <c r="Y61" s="163" t="s">
        <v>169</v>
      </c>
      <c r="Z61" s="159" t="s">
        <v>62</v>
      </c>
      <c r="AA61" s="171"/>
      <c r="AB61" s="70"/>
      <c r="AC61" s="26"/>
      <c r="AD61"/>
      <c r="AE61" s="158"/>
      <c r="AF61"/>
      <c r="AG61"/>
    </row>
    <row r="62" spans="2:33" x14ac:dyDescent="0.25">
      <c r="I62" s="2"/>
      <c r="J62" s="6"/>
      <c r="K62" s="5"/>
      <c r="L62" s="5"/>
      <c r="M62" s="39">
        <f t="shared" si="1"/>
        <v>57</v>
      </c>
      <c r="N62" s="6"/>
      <c r="O62" s="1">
        <f t="shared" si="2"/>
        <v>58</v>
      </c>
      <c r="P62" s="4">
        <f>'dati nascosti'!$B$4/70*O62</f>
        <v>4.9714285714285715</v>
      </c>
      <c r="Q62" s="3">
        <f>IF(P62&lt;'dati nascosti'!$B$12,'dati nascosti'!$B$10^2*'dati nascosti'!$B$9*LN('dati nascosti'!$B$12/'dati nascosti'!$B$11)*(7+'dati nascosti'!$B$9*LN('dati nascosti'!$B$12/'dati nascosti'!$B$11)),'dati nascosti'!$B$10^2*'dati nascosti'!$B$9*LN(P62/'dati nascosti'!$B$11)*(7+'dati nascosti'!$B$9*LN(P62/'dati nascosti'!$B$11)))</f>
        <v>1.6342119731764906</v>
      </c>
      <c r="R62" s="2">
        <f>'dati nascosti'!$B$19*Q62*'dati nascosti'!$B$13*'dati nascosti'!$B$14/1000</f>
        <v>0.76986188880277173</v>
      </c>
      <c r="S62" s="2">
        <f>'dati nascosti'!$B$19*Q62*'dati nascosti'!$B$13*'dati nascosti'!$B$15/1000</f>
        <v>0.36953370662533047</v>
      </c>
      <c r="X62" s="130" t="s">
        <v>53</v>
      </c>
      <c r="Y62" s="163" t="s">
        <v>169</v>
      </c>
      <c r="Z62" s="159" t="s">
        <v>62</v>
      </c>
      <c r="AA62" s="171"/>
      <c r="AB62" s="66"/>
      <c r="AC62"/>
      <c r="AD62"/>
      <c r="AE62" s="158"/>
      <c r="AF62"/>
      <c r="AG62"/>
    </row>
    <row r="63" spans="2:33" x14ac:dyDescent="0.25">
      <c r="I63" s="2"/>
      <c r="J63" s="6"/>
      <c r="K63" s="5"/>
      <c r="L63" s="5"/>
      <c r="M63" s="39">
        <f t="shared" si="1"/>
        <v>58</v>
      </c>
      <c r="N63" s="6"/>
      <c r="O63" s="1">
        <f t="shared" si="2"/>
        <v>59</v>
      </c>
      <c r="P63" s="4">
        <f>'dati nascosti'!$B$4/70*O63</f>
        <v>5.0571428571428569</v>
      </c>
      <c r="Q63" s="3">
        <f>IF(P63&lt;'dati nascosti'!$B$12,'dati nascosti'!$B$10^2*'dati nascosti'!$B$9*LN('dati nascosti'!$B$12/'dati nascosti'!$B$11)*(7+'dati nascosti'!$B$9*LN('dati nascosti'!$B$12/'dati nascosti'!$B$11)),'dati nascosti'!$B$10^2*'dati nascosti'!$B$9*LN(P63/'dati nascosti'!$B$11)*(7+'dati nascosti'!$B$9*LN(P63/'dati nascosti'!$B$11)))</f>
        <v>1.6342119731764906</v>
      </c>
      <c r="R63" s="2">
        <f>'dati nascosti'!$B$19*Q63*'dati nascosti'!$B$13*'dati nascosti'!$B$14/1000</f>
        <v>0.76986188880277173</v>
      </c>
      <c r="S63" s="2">
        <f>'dati nascosti'!$B$19*Q63*'dati nascosti'!$B$13*'dati nascosti'!$B$15/1000</f>
        <v>0.36953370662533047</v>
      </c>
      <c r="X63" s="130" t="s">
        <v>55</v>
      </c>
      <c r="Y63" s="163" t="s">
        <v>169</v>
      </c>
      <c r="Z63" s="159" t="s">
        <v>62</v>
      </c>
      <c r="AA63" s="171"/>
      <c r="AB63" s="66"/>
      <c r="AC63"/>
      <c r="AD63"/>
      <c r="AE63" s="158"/>
      <c r="AF63"/>
      <c r="AG63"/>
    </row>
    <row r="64" spans="2:33" x14ac:dyDescent="0.25">
      <c r="I64" s="2"/>
      <c r="J64" s="6"/>
      <c r="K64" s="5"/>
      <c r="L64" s="5"/>
      <c r="M64" s="39">
        <f t="shared" si="1"/>
        <v>59</v>
      </c>
      <c r="N64" s="6"/>
      <c r="O64" s="1">
        <f t="shared" si="2"/>
        <v>60</v>
      </c>
      <c r="P64" s="4">
        <f>'dati nascosti'!$B$4/70*O64</f>
        <v>5.1428571428571432</v>
      </c>
      <c r="Q64" s="3">
        <f>IF(P64&lt;'dati nascosti'!$B$12,'dati nascosti'!$B$10^2*'dati nascosti'!$B$9*LN('dati nascosti'!$B$12/'dati nascosti'!$B$11)*(7+'dati nascosti'!$B$9*LN('dati nascosti'!$B$12/'dati nascosti'!$B$11)),'dati nascosti'!$B$10^2*'dati nascosti'!$B$9*LN(P64/'dati nascosti'!$B$11)*(7+'dati nascosti'!$B$9*LN(P64/'dati nascosti'!$B$11)))</f>
        <v>1.6342119731764906</v>
      </c>
      <c r="R64" s="2">
        <f>'dati nascosti'!$B$19*Q64*'dati nascosti'!$B$13*'dati nascosti'!$B$14/1000</f>
        <v>0.76986188880277173</v>
      </c>
      <c r="S64" s="2">
        <f>'dati nascosti'!$B$19*Q64*'dati nascosti'!$B$13*'dati nascosti'!$B$15/1000</f>
        <v>0.36953370662533047</v>
      </c>
      <c r="X64" s="130" t="s">
        <v>57</v>
      </c>
      <c r="Y64" s="163" t="s">
        <v>62</v>
      </c>
      <c r="Z64" s="159" t="s">
        <v>62</v>
      </c>
      <c r="AA64" s="171"/>
      <c r="AB64" s="66"/>
      <c r="AC64"/>
      <c r="AD64"/>
      <c r="AE64" s="158"/>
      <c r="AF64"/>
      <c r="AG64"/>
    </row>
    <row r="65" spans="9:42" x14ac:dyDescent="0.25">
      <c r="I65" s="2"/>
      <c r="J65" s="6"/>
      <c r="K65" s="5"/>
      <c r="L65" s="5"/>
      <c r="M65" s="39">
        <f t="shared" si="1"/>
        <v>60</v>
      </c>
      <c r="N65" s="6"/>
      <c r="O65" s="1">
        <f t="shared" si="2"/>
        <v>61</v>
      </c>
      <c r="P65" s="4">
        <f>'dati nascosti'!$B$4/70*O65</f>
        <v>5.2285714285714286</v>
      </c>
      <c r="Q65" s="3">
        <f>IF(P65&lt;'dati nascosti'!$B$12,'dati nascosti'!$B$10^2*'dati nascosti'!$B$9*LN('dati nascosti'!$B$12/'dati nascosti'!$B$11)*(7+'dati nascosti'!$B$9*LN('dati nascosti'!$B$12/'dati nascosti'!$B$11)),'dati nascosti'!$B$10^2*'dati nascosti'!$B$9*LN(P65/'dati nascosti'!$B$11)*(7+'dati nascosti'!$B$9*LN(P65/'dati nascosti'!$B$11)))</f>
        <v>1.6342119731764906</v>
      </c>
      <c r="R65" s="2">
        <f>'dati nascosti'!$B$19*Q65*'dati nascosti'!$B$13*'dati nascosti'!$B$14/1000</f>
        <v>0.76986188880277173</v>
      </c>
      <c r="S65" s="2">
        <f>'dati nascosti'!$B$19*Q65*'dati nascosti'!$B$13*'dati nascosti'!$B$15/1000</f>
        <v>0.36953370662533047</v>
      </c>
      <c r="W65" s="158"/>
      <c r="AE65" s="158"/>
      <c r="AF65"/>
      <c r="AG65"/>
    </row>
    <row r="66" spans="9:42" x14ac:dyDescent="0.25">
      <c r="I66" s="2"/>
      <c r="J66" s="6"/>
      <c r="K66" s="5"/>
      <c r="L66" s="5"/>
      <c r="M66" s="39">
        <f t="shared" si="1"/>
        <v>61</v>
      </c>
      <c r="N66" s="6"/>
      <c r="O66" s="1">
        <f t="shared" si="2"/>
        <v>62</v>
      </c>
      <c r="P66" s="4">
        <f>'dati nascosti'!$B$4/70*O66</f>
        <v>5.3142857142857141</v>
      </c>
      <c r="Q66" s="3">
        <f>IF(P66&lt;'dati nascosti'!$B$12,'dati nascosti'!$B$10^2*'dati nascosti'!$B$9*LN('dati nascosti'!$B$12/'dati nascosti'!$B$11)*(7+'dati nascosti'!$B$9*LN('dati nascosti'!$B$12/'dati nascosti'!$B$11)),'dati nascosti'!$B$10^2*'dati nascosti'!$B$9*LN(P66/'dati nascosti'!$B$11)*(7+'dati nascosti'!$B$9*LN(P66/'dati nascosti'!$B$11)))</f>
        <v>1.6342119731764906</v>
      </c>
      <c r="R66" s="2">
        <f>'dati nascosti'!$B$19*Q66*'dati nascosti'!$B$13*'dati nascosti'!$B$14/1000</f>
        <v>0.76986188880277173</v>
      </c>
      <c r="S66" s="2">
        <f>'dati nascosti'!$B$19*Q66*'dati nascosti'!$B$13*'dati nascosti'!$B$15/1000</f>
        <v>0.36953370662533047</v>
      </c>
      <c r="W66" s="158"/>
      <c r="X66" t="s">
        <v>191</v>
      </c>
      <c r="AE66" s="158"/>
      <c r="AF66"/>
      <c r="AG66"/>
      <c r="AL66" s="182">
        <v>0</v>
      </c>
      <c r="AM66" s="1">
        <v>0</v>
      </c>
      <c r="AN66" s="1" t="s">
        <v>194</v>
      </c>
      <c r="AO66" s="118">
        <f>IF('CALCOLO DEL VENTO'!D70&lt;=20,-0.4,IF('CALCOLO DEL VENTO'!D70&gt;=60,0.8,0.03*'CALCOLO DEL VENTO'!D70-1))</f>
        <v>-0.28000000000000003</v>
      </c>
      <c r="AP66" s="197">
        <f>('dati nascosti'!AO66-'CALCOLO DEL VENTO'!F237)</f>
        <v>-0.48000000000000004</v>
      </c>
    </row>
    <row r="67" spans="9:42" x14ac:dyDescent="0.25">
      <c r="I67" s="2"/>
      <c r="J67" s="6"/>
      <c r="K67" s="5"/>
      <c r="L67" s="5"/>
      <c r="M67" s="39">
        <f t="shared" si="1"/>
        <v>62</v>
      </c>
      <c r="N67" s="6"/>
      <c r="O67" s="1">
        <f t="shared" si="2"/>
        <v>63</v>
      </c>
      <c r="P67" s="4">
        <f>'dati nascosti'!$B$4/70*O67</f>
        <v>5.4</v>
      </c>
      <c r="Q67" s="3">
        <f>IF(P67&lt;'dati nascosti'!$B$12,'dati nascosti'!$B$10^2*'dati nascosti'!$B$9*LN('dati nascosti'!$B$12/'dati nascosti'!$B$11)*(7+'dati nascosti'!$B$9*LN('dati nascosti'!$B$12/'dati nascosti'!$B$11)),'dati nascosti'!$B$10^2*'dati nascosti'!$B$9*LN(P67/'dati nascosti'!$B$11)*(7+'dati nascosti'!$B$9*LN(P67/'dati nascosti'!$B$11)))</f>
        <v>1.6342119731764906</v>
      </c>
      <c r="R67" s="2">
        <f>'dati nascosti'!$B$19*Q67*'dati nascosti'!$B$13*'dati nascosti'!$B$14/1000</f>
        <v>0.76986188880277173</v>
      </c>
      <c r="S67" s="2">
        <f>'dati nascosti'!$B$19*Q67*'dati nascosti'!$B$13*'dati nascosti'!$B$15/1000</f>
        <v>0.36953370662533047</v>
      </c>
      <c r="W67" s="158"/>
      <c r="X67" t="s">
        <v>190</v>
      </c>
      <c r="Y67" s="158"/>
      <c r="Z67" s="158"/>
      <c r="AA67" s="158"/>
      <c r="AB67" s="158"/>
      <c r="AC67" s="158"/>
      <c r="AD67" s="158"/>
      <c r="AE67" s="158"/>
      <c r="AF67"/>
      <c r="AG67"/>
      <c r="AL67" s="1">
        <v>0.2</v>
      </c>
      <c r="AM67" s="1">
        <v>-0.2</v>
      </c>
      <c r="AN67" s="1" t="s">
        <v>194</v>
      </c>
      <c r="AO67" s="123">
        <f>AO66</f>
        <v>-0.28000000000000003</v>
      </c>
      <c r="AP67">
        <f>ABS('dati nascosti'!AO67+'CALCOLO DEL VENTO'!F247)</f>
        <v>8.0000000000000016E-2</v>
      </c>
    </row>
    <row r="68" spans="9:42" x14ac:dyDescent="0.25">
      <c r="I68" s="2"/>
      <c r="J68" s="6"/>
      <c r="K68" s="5"/>
      <c r="L68" s="5"/>
      <c r="M68" s="39">
        <f t="shared" si="1"/>
        <v>63</v>
      </c>
      <c r="N68" s="6"/>
      <c r="O68" s="1">
        <f t="shared" si="2"/>
        <v>64</v>
      </c>
      <c r="P68" s="4">
        <f>'dati nascosti'!$B$4/70*O68</f>
        <v>5.4857142857142858</v>
      </c>
      <c r="Q68" s="3">
        <f>IF(P68&lt;'dati nascosti'!$B$12,'dati nascosti'!$B$10^2*'dati nascosti'!$B$9*LN('dati nascosti'!$B$12/'dati nascosti'!$B$11)*(7+'dati nascosti'!$B$9*LN('dati nascosti'!$B$12/'dati nascosti'!$B$11)),'dati nascosti'!$B$10^2*'dati nascosti'!$B$9*LN(P68/'dati nascosti'!$B$11)*(7+'dati nascosti'!$B$9*LN(P68/'dati nascosti'!$B$11)))</f>
        <v>1.6342119731764906</v>
      </c>
      <c r="R68" s="2">
        <f>'dati nascosti'!$B$19*Q68*'dati nascosti'!$B$13*'dati nascosti'!$B$14/1000</f>
        <v>0.76986188880277173</v>
      </c>
      <c r="S68" s="2">
        <f>'dati nascosti'!$B$19*Q68*'dati nascosti'!$B$13*'dati nascosti'!$B$15/1000</f>
        <v>0.36953370662533047</v>
      </c>
      <c r="W68" s="158"/>
      <c r="X68" t="s">
        <v>189</v>
      </c>
      <c r="Y68" s="158"/>
      <c r="Z68" s="158"/>
      <c r="AA68" s="158"/>
      <c r="AB68" s="158"/>
      <c r="AC68" s="158"/>
      <c r="AD68" s="158"/>
      <c r="AE68" s="158"/>
      <c r="AF68"/>
      <c r="AG68"/>
      <c r="AL68" s="1">
        <v>0.8</v>
      </c>
      <c r="AM68" s="1">
        <v>-0.5</v>
      </c>
      <c r="AN68" s="1" t="s">
        <v>194</v>
      </c>
    </row>
    <row r="69" spans="9:42" x14ac:dyDescent="0.25">
      <c r="I69" s="2"/>
      <c r="J69" s="6"/>
      <c r="K69" s="5"/>
      <c r="L69" s="5"/>
      <c r="M69" s="39">
        <f t="shared" si="1"/>
        <v>64</v>
      </c>
      <c r="N69" s="6"/>
      <c r="O69" s="1">
        <f t="shared" ref="O69:O104" si="3">O68+1</f>
        <v>65</v>
      </c>
      <c r="P69" s="4">
        <f>'dati nascosti'!$B$4/70*O69</f>
        <v>5.5714285714285712</v>
      </c>
      <c r="Q69" s="3">
        <f>IF(P69&lt;'dati nascosti'!$B$12,'dati nascosti'!$B$10^2*'dati nascosti'!$B$9*LN('dati nascosti'!$B$12/'dati nascosti'!$B$11)*(7+'dati nascosti'!$B$9*LN('dati nascosti'!$B$12/'dati nascosti'!$B$11)),'dati nascosti'!$B$10^2*'dati nascosti'!$B$9*LN(P69/'dati nascosti'!$B$11)*(7+'dati nascosti'!$B$9*LN(P69/'dati nascosti'!$B$11)))</f>
        <v>1.6342119731764906</v>
      </c>
      <c r="R69" s="2">
        <f>'dati nascosti'!$B$19*Q69*'dati nascosti'!$B$13*'dati nascosti'!$B$14/1000</f>
        <v>0.76986188880277173</v>
      </c>
      <c r="S69" s="2">
        <f>'dati nascosti'!$B$19*Q69*'dati nascosti'!$B$13*'dati nascosti'!$B$15/1000</f>
        <v>0.36953370662533047</v>
      </c>
      <c r="W69" s="158"/>
      <c r="X69" t="s">
        <v>192</v>
      </c>
      <c r="Y69" s="158"/>
      <c r="Z69" s="158"/>
      <c r="AA69" s="158"/>
      <c r="AB69" s="158"/>
      <c r="AC69" s="158"/>
      <c r="AD69" s="158"/>
      <c r="AE69" s="158"/>
      <c r="AF69"/>
      <c r="AG69"/>
      <c r="AL69" s="1">
        <v>1.2</v>
      </c>
      <c r="AM69" s="1">
        <v>-1.2</v>
      </c>
      <c r="AN69" s="1" t="s">
        <v>193</v>
      </c>
    </row>
    <row r="70" spans="9:42" x14ac:dyDescent="0.25">
      <c r="I70" s="2"/>
      <c r="J70" s="6"/>
      <c r="K70" s="6"/>
      <c r="L70" s="6"/>
      <c r="M70" s="39">
        <f t="shared" si="1"/>
        <v>65</v>
      </c>
      <c r="N70" s="6"/>
      <c r="O70" s="1">
        <f t="shared" si="3"/>
        <v>66</v>
      </c>
      <c r="P70" s="4">
        <f>'dati nascosti'!$B$4/70*O70</f>
        <v>5.6571428571428575</v>
      </c>
      <c r="Q70" s="3">
        <f>IF(P70&lt;'dati nascosti'!$B$12,'dati nascosti'!$B$10^2*'dati nascosti'!$B$9*LN('dati nascosti'!$B$12/'dati nascosti'!$B$11)*(7+'dati nascosti'!$B$9*LN('dati nascosti'!$B$12/'dati nascosti'!$B$11)),'dati nascosti'!$B$10^2*'dati nascosti'!$B$9*LN(P70/'dati nascosti'!$B$11)*(7+'dati nascosti'!$B$9*LN(P70/'dati nascosti'!$B$11)))</f>
        <v>1.6342119731764906</v>
      </c>
      <c r="R70" s="2">
        <f>'dati nascosti'!$B$19*Q70*'dati nascosti'!$B$13*'dati nascosti'!$B$14/1000</f>
        <v>0.76986188880277173</v>
      </c>
      <c r="S70" s="2">
        <f>'dati nascosti'!$B$19*Q70*'dati nascosti'!$B$13*'dati nascosti'!$B$15/1000</f>
        <v>0.36953370662533047</v>
      </c>
      <c r="W70" s="158"/>
      <c r="X70" s="158"/>
      <c r="Y70" s="158"/>
      <c r="Z70" s="158"/>
      <c r="AA70" s="158"/>
      <c r="AB70" s="158"/>
      <c r="AC70" s="158"/>
      <c r="AD70" s="158"/>
      <c r="AE70" s="158"/>
      <c r="AF70"/>
      <c r="AG70"/>
    </row>
    <row r="71" spans="9:42" x14ac:dyDescent="0.25">
      <c r="I71" s="2"/>
      <c r="J71" s="6"/>
      <c r="K71" s="5"/>
      <c r="L71" s="5"/>
      <c r="M71" s="39">
        <f t="shared" ref="M71:M95" si="4">M70+1</f>
        <v>66</v>
      </c>
      <c r="N71" s="6"/>
      <c r="O71" s="1">
        <f t="shared" si="3"/>
        <v>67</v>
      </c>
      <c r="P71" s="4">
        <f>'dati nascosti'!$B$4/70*O71</f>
        <v>5.7428571428571429</v>
      </c>
      <c r="Q71" s="3">
        <f>IF(P71&lt;'dati nascosti'!$B$12,'dati nascosti'!$B$10^2*'dati nascosti'!$B$9*LN('dati nascosti'!$B$12/'dati nascosti'!$B$11)*(7+'dati nascosti'!$B$9*LN('dati nascosti'!$B$12/'dati nascosti'!$B$11)),'dati nascosti'!$B$10^2*'dati nascosti'!$B$9*LN(P71/'dati nascosti'!$B$11)*(7+'dati nascosti'!$B$9*LN(P71/'dati nascosti'!$B$11)))</f>
        <v>1.6342119731764906</v>
      </c>
      <c r="R71" s="2">
        <f>'dati nascosti'!$B$19*Q71*'dati nascosti'!$B$13*'dati nascosti'!$B$14/1000</f>
        <v>0.76986188880277173</v>
      </c>
      <c r="S71" s="2">
        <f>'dati nascosti'!$B$19*Q71*'dati nascosti'!$B$13*'dati nascosti'!$B$15/1000</f>
        <v>0.36953370662533047</v>
      </c>
      <c r="W71" s="158"/>
      <c r="X71" s="158"/>
      <c r="Y71" s="158"/>
      <c r="Z71" s="158"/>
      <c r="AA71" s="158"/>
      <c r="AB71" s="158"/>
      <c r="AC71" s="158"/>
      <c r="AD71" s="158"/>
      <c r="AE71" s="158"/>
      <c r="AF71"/>
      <c r="AG71"/>
    </row>
    <row r="72" spans="9:42" x14ac:dyDescent="0.25">
      <c r="I72" s="2"/>
      <c r="J72" s="6"/>
      <c r="K72" s="5"/>
      <c r="L72" s="5"/>
      <c r="M72" s="39">
        <f t="shared" si="4"/>
        <v>67</v>
      </c>
      <c r="N72" s="6"/>
      <c r="O72" s="1">
        <f t="shared" si="3"/>
        <v>68</v>
      </c>
      <c r="P72" s="4">
        <f>'dati nascosti'!$B$4/70*O72</f>
        <v>5.8285714285714283</v>
      </c>
      <c r="Q72" s="3">
        <f>IF(P72&lt;'dati nascosti'!$B$12,'dati nascosti'!$B$10^2*'dati nascosti'!$B$9*LN('dati nascosti'!$B$12/'dati nascosti'!$B$11)*(7+'dati nascosti'!$B$9*LN('dati nascosti'!$B$12/'dati nascosti'!$B$11)),'dati nascosti'!$B$10^2*'dati nascosti'!$B$9*LN(P72/'dati nascosti'!$B$11)*(7+'dati nascosti'!$B$9*LN(P72/'dati nascosti'!$B$11)))</f>
        <v>1.6342119731764906</v>
      </c>
      <c r="R72" s="2">
        <f>'dati nascosti'!$B$19*Q72*'dati nascosti'!$B$13*'dati nascosti'!$B$14/1000</f>
        <v>0.76986188880277173</v>
      </c>
      <c r="S72" s="2">
        <f>'dati nascosti'!$B$19*Q72*'dati nascosti'!$B$13*'dati nascosti'!$B$15/1000</f>
        <v>0.36953370662533047</v>
      </c>
      <c r="W72" s="158"/>
      <c r="X72" s="158"/>
      <c r="Y72" s="158"/>
      <c r="Z72" s="158"/>
      <c r="AA72" s="158"/>
      <c r="AB72" s="158"/>
      <c r="AC72" s="158"/>
      <c r="AD72" s="158"/>
      <c r="AE72" s="158"/>
      <c r="AF72"/>
      <c r="AG72"/>
    </row>
    <row r="73" spans="9:42" x14ac:dyDescent="0.25">
      <c r="I73" s="2"/>
      <c r="J73" s="6"/>
      <c r="K73" s="5"/>
      <c r="L73" s="5"/>
      <c r="M73" s="39">
        <f t="shared" si="4"/>
        <v>68</v>
      </c>
      <c r="N73" s="6"/>
      <c r="O73" s="1">
        <f t="shared" si="3"/>
        <v>69</v>
      </c>
      <c r="P73" s="4">
        <f>'dati nascosti'!$B$4/70*O73</f>
        <v>5.9142857142857146</v>
      </c>
      <c r="Q73" s="3">
        <f>IF(P73&lt;'dati nascosti'!$B$12,'dati nascosti'!$B$10^2*'dati nascosti'!$B$9*LN('dati nascosti'!$B$12/'dati nascosti'!$B$11)*(7+'dati nascosti'!$B$9*LN('dati nascosti'!$B$12/'dati nascosti'!$B$11)),'dati nascosti'!$B$10^2*'dati nascosti'!$B$9*LN(P73/'dati nascosti'!$B$11)*(7+'dati nascosti'!$B$9*LN(P73/'dati nascosti'!$B$11)))</f>
        <v>1.6342119731764906</v>
      </c>
      <c r="R73" s="2">
        <f>'dati nascosti'!$B$19*Q73*'dati nascosti'!$B$13*'dati nascosti'!$B$14/1000</f>
        <v>0.76986188880277173</v>
      </c>
      <c r="S73" s="2">
        <f>'dati nascosti'!$B$19*Q73*'dati nascosti'!$B$13*'dati nascosti'!$B$15/1000</f>
        <v>0.36953370662533047</v>
      </c>
      <c r="W73" s="158"/>
      <c r="X73" s="158"/>
      <c r="Y73" s="158"/>
      <c r="Z73" s="158"/>
      <c r="AA73" s="158"/>
      <c r="AB73" s="158"/>
      <c r="AC73" s="158"/>
      <c r="AD73" s="158"/>
      <c r="AE73" s="158"/>
      <c r="AF73"/>
      <c r="AG73"/>
    </row>
    <row r="74" spans="9:42" x14ac:dyDescent="0.25">
      <c r="I74" s="2"/>
      <c r="J74" s="6"/>
      <c r="L74" s="5"/>
      <c r="M74" s="39">
        <f t="shared" si="4"/>
        <v>69</v>
      </c>
      <c r="N74" s="6"/>
      <c r="O74" s="1">
        <f t="shared" si="3"/>
        <v>70</v>
      </c>
      <c r="P74" s="4">
        <f>'dati nascosti'!$B$4/70*O74</f>
        <v>6</v>
      </c>
      <c r="Q74" s="3">
        <f>IF(P74&lt;'dati nascosti'!$B$12,'dati nascosti'!$B$10^2*'dati nascosti'!$B$9*LN('dati nascosti'!$B$12/'dati nascosti'!$B$11)*(7+'dati nascosti'!$B$9*LN('dati nascosti'!$B$12/'dati nascosti'!$B$11)),'dati nascosti'!$B$10^2*'dati nascosti'!$B$9*LN(P74/'dati nascosti'!$B$11)*(7+'dati nascosti'!$B$9*LN(P74/'dati nascosti'!$B$11)))</f>
        <v>1.6342119731764906</v>
      </c>
      <c r="R74" s="2">
        <f>'dati nascosti'!$B$19*Q74*'dati nascosti'!$B$13*'dati nascosti'!$B$14/1000</f>
        <v>0.76986188880277173</v>
      </c>
      <c r="S74" s="2">
        <f>'dati nascosti'!$B$19*Q74*'dati nascosti'!$B$13*'dati nascosti'!$B$15/1000</f>
        <v>0.36953370662533047</v>
      </c>
      <c r="W74" s="158"/>
      <c r="X74" s="158"/>
      <c r="Y74" s="158"/>
      <c r="Z74" s="158"/>
      <c r="AA74" s="158"/>
      <c r="AB74" s="158"/>
      <c r="AC74" s="158"/>
      <c r="AD74" s="158"/>
      <c r="AE74" s="158"/>
      <c r="AF74"/>
      <c r="AG74"/>
    </row>
    <row r="75" spans="9:42" x14ac:dyDescent="0.25">
      <c r="I75" s="2"/>
      <c r="J75" s="6"/>
      <c r="K75" s="5"/>
      <c r="L75" s="5"/>
      <c r="M75" s="39">
        <f t="shared" si="4"/>
        <v>70</v>
      </c>
      <c r="N75" s="37">
        <f>'CALCOLO DEL VENTO'!C67-'CALCOLO DEL VENTO'!F35</f>
        <v>3</v>
      </c>
      <c r="O75" s="40">
        <f>1</f>
        <v>1</v>
      </c>
      <c r="P75" s="41">
        <f t="shared" ref="P75:P104" si="5">$N$75/30*O75+$P$74</f>
        <v>6.1</v>
      </c>
      <c r="Q75" s="42">
        <f>IF(P75&lt;'dati nascosti'!$B$12,'dati nascosti'!$B$10^2*'dati nascosti'!$B$9*LN('dati nascosti'!$B$12/'dati nascosti'!$B$11)*(7+'dati nascosti'!$B$9*LN('dati nascosti'!$B$12/'dati nascosti'!$B$11)),'dati nascosti'!$B$10^2*'dati nascosti'!$B$9*LN(P75/'dati nascosti'!$B$11)*(7+'dati nascosti'!$B$9*LN(P75/'dati nascosti'!$B$11)))</f>
        <v>1.6342119731764906</v>
      </c>
      <c r="R75" s="43">
        <f>'dati nascosti'!$B$19*Q75*'dati nascosti'!$B$13*'dati nascosti'!$B$14/1000</f>
        <v>0.76986188880277173</v>
      </c>
      <c r="S75" s="2">
        <f>'dati nascosti'!$B$19*Q75*'dati nascosti'!$B$13*'dati nascosti'!$B$15/1000</f>
        <v>0.36953370662533047</v>
      </c>
      <c r="W75" s="158"/>
      <c r="X75" s="158"/>
      <c r="Y75" s="158"/>
      <c r="Z75" s="158"/>
      <c r="AA75" s="158"/>
      <c r="AB75" s="158"/>
      <c r="AC75" s="158"/>
      <c r="AD75" s="158"/>
      <c r="AE75" s="158"/>
      <c r="AF75"/>
      <c r="AG75"/>
    </row>
    <row r="76" spans="9:42" x14ac:dyDescent="0.25">
      <c r="I76" s="2"/>
      <c r="J76" s="6"/>
      <c r="K76" s="5"/>
      <c r="L76" s="5"/>
      <c r="M76" s="39">
        <f t="shared" si="4"/>
        <v>71</v>
      </c>
      <c r="N76" s="6"/>
      <c r="O76" s="25">
        <f t="shared" si="3"/>
        <v>2</v>
      </c>
      <c r="P76" s="38">
        <f t="shared" si="5"/>
        <v>6.2</v>
      </c>
      <c r="Q76" s="3">
        <f>IF(P76&lt;'dati nascosti'!$B$12,'dati nascosti'!$B$10^2*'dati nascosti'!$B$9*LN('dati nascosti'!$B$12/'dati nascosti'!$B$11)*(7+'dati nascosti'!$B$9*LN('dati nascosti'!$B$12/'dati nascosti'!$B$11)),'dati nascosti'!$B$10^2*'dati nascosti'!$B$9*LN(P76/'dati nascosti'!$B$11)*(7+'dati nascosti'!$B$9*LN(P76/'dati nascosti'!$B$11)))</f>
        <v>1.6342119731764906</v>
      </c>
      <c r="R76" s="2">
        <f>'dati nascosti'!$B$19*Q76*'dati nascosti'!$B$13*'dati nascosti'!$B$14/1000</f>
        <v>0.76986188880277173</v>
      </c>
      <c r="W76" s="158"/>
      <c r="X76" s="158"/>
      <c r="Y76" s="158"/>
      <c r="Z76" s="158"/>
      <c r="AA76" s="158"/>
      <c r="AB76" s="158"/>
      <c r="AC76" s="158"/>
      <c r="AD76" s="158"/>
      <c r="AE76" s="158"/>
      <c r="AF76"/>
      <c r="AG76"/>
    </row>
    <row r="77" spans="9:42" x14ac:dyDescent="0.25">
      <c r="I77" s="2"/>
      <c r="J77" s="2"/>
      <c r="M77" s="39">
        <f t="shared" si="4"/>
        <v>72</v>
      </c>
      <c r="N77" s="2"/>
      <c r="O77" s="25">
        <f t="shared" si="3"/>
        <v>3</v>
      </c>
      <c r="P77" s="38">
        <f t="shared" si="5"/>
        <v>6.3</v>
      </c>
      <c r="Q77" s="3">
        <f>IF(P77&lt;'dati nascosti'!$B$12,'dati nascosti'!$B$10^2*'dati nascosti'!$B$9*LN('dati nascosti'!$B$12/'dati nascosti'!$B$11)*(7+'dati nascosti'!$B$9*LN('dati nascosti'!$B$12/'dati nascosti'!$B$11)),'dati nascosti'!$B$10^2*'dati nascosti'!$B$9*LN(P77/'dati nascosti'!$B$11)*(7+'dati nascosti'!$B$9*LN(P77/'dati nascosti'!$B$11)))</f>
        <v>1.6342119731764906</v>
      </c>
      <c r="R77" s="2">
        <f>'dati nascosti'!$B$19*Q77*'dati nascosti'!$B$13*'dati nascosti'!$B$14/1000</f>
        <v>0.76986188880277173</v>
      </c>
      <c r="W77" s="158"/>
      <c r="X77" s="158"/>
      <c r="Y77" s="158"/>
      <c r="Z77" s="158"/>
      <c r="AA77" s="158"/>
      <c r="AB77" s="158"/>
      <c r="AC77" s="158"/>
      <c r="AD77" s="158"/>
      <c r="AE77" s="158"/>
      <c r="AF77"/>
      <c r="AG77"/>
    </row>
    <row r="78" spans="9:42" x14ac:dyDescent="0.25">
      <c r="I78" s="2"/>
      <c r="J78" s="2"/>
      <c r="M78" s="39">
        <f t="shared" si="4"/>
        <v>73</v>
      </c>
      <c r="N78" s="2"/>
      <c r="O78" s="25">
        <f t="shared" si="3"/>
        <v>4</v>
      </c>
      <c r="P78" s="38">
        <f t="shared" si="5"/>
        <v>6.4</v>
      </c>
      <c r="Q78" s="3">
        <f>IF(P78&lt;'dati nascosti'!$B$12,'dati nascosti'!$B$10^2*'dati nascosti'!$B$9*LN('dati nascosti'!$B$12/'dati nascosti'!$B$11)*(7+'dati nascosti'!$B$9*LN('dati nascosti'!$B$12/'dati nascosti'!$B$11)),'dati nascosti'!$B$10^2*'dati nascosti'!$B$9*LN(P78/'dati nascosti'!$B$11)*(7+'dati nascosti'!$B$9*LN(P78/'dati nascosti'!$B$11)))</f>
        <v>1.6342119731764906</v>
      </c>
      <c r="R78" s="2">
        <f>'dati nascosti'!$B$19*Q78*'dati nascosti'!$B$13*'dati nascosti'!$B$14/1000</f>
        <v>0.76986188880277173</v>
      </c>
      <c r="W78" s="158"/>
      <c r="X78" s="158"/>
      <c r="Y78" s="158"/>
      <c r="Z78" s="158"/>
      <c r="AA78" s="158"/>
      <c r="AB78" s="158"/>
      <c r="AC78" s="158"/>
      <c r="AD78" s="158"/>
      <c r="AE78" s="158"/>
      <c r="AF78"/>
      <c r="AG78"/>
    </row>
    <row r="79" spans="9:42" x14ac:dyDescent="0.25">
      <c r="I79" s="2"/>
      <c r="J79" s="2"/>
      <c r="M79" s="39">
        <f t="shared" si="4"/>
        <v>74</v>
      </c>
      <c r="N79" s="2"/>
      <c r="O79" s="25">
        <f t="shared" si="3"/>
        <v>5</v>
      </c>
      <c r="P79" s="38">
        <f t="shared" si="5"/>
        <v>6.5</v>
      </c>
      <c r="Q79" s="3">
        <f>IF(P79&lt;'dati nascosti'!$B$12,'dati nascosti'!$B$10^2*'dati nascosti'!$B$9*LN('dati nascosti'!$B$12/'dati nascosti'!$B$11)*(7+'dati nascosti'!$B$9*LN('dati nascosti'!$B$12/'dati nascosti'!$B$11)),'dati nascosti'!$B$10^2*'dati nascosti'!$B$9*LN(P79/'dati nascosti'!$B$11)*(7+'dati nascosti'!$B$9*LN(P79/'dati nascosti'!$B$11)))</f>
        <v>1.6342119731764906</v>
      </c>
      <c r="R79" s="2">
        <f>'dati nascosti'!$B$19*Q79*'dati nascosti'!$B$13*'dati nascosti'!$B$14/1000</f>
        <v>0.76986188880277173</v>
      </c>
      <c r="W79" s="158"/>
      <c r="X79" s="158"/>
      <c r="Y79" s="158"/>
      <c r="Z79" s="158"/>
      <c r="AA79" s="158"/>
      <c r="AB79" s="158"/>
      <c r="AC79" s="158"/>
      <c r="AD79" s="158"/>
      <c r="AE79" s="158"/>
      <c r="AF79"/>
      <c r="AG79"/>
    </row>
    <row r="80" spans="9:42" x14ac:dyDescent="0.25">
      <c r="I80" s="2"/>
      <c r="J80" s="2"/>
      <c r="M80" s="39">
        <f t="shared" si="4"/>
        <v>75</v>
      </c>
      <c r="N80" s="2"/>
      <c r="O80" s="25">
        <f t="shared" si="3"/>
        <v>6</v>
      </c>
      <c r="P80" s="38">
        <f t="shared" si="5"/>
        <v>6.6</v>
      </c>
      <c r="Q80" s="3">
        <f>IF(P80&lt;'dati nascosti'!$B$12,'dati nascosti'!$B$10^2*'dati nascosti'!$B$9*LN('dati nascosti'!$B$12/'dati nascosti'!$B$11)*(7+'dati nascosti'!$B$9*LN('dati nascosti'!$B$12/'dati nascosti'!$B$11)),'dati nascosti'!$B$10^2*'dati nascosti'!$B$9*LN(P80/'dati nascosti'!$B$11)*(7+'dati nascosti'!$B$9*LN(P80/'dati nascosti'!$B$11)))</f>
        <v>1.6342119731764906</v>
      </c>
      <c r="R80" s="2">
        <f>'dati nascosti'!$B$19*Q80*'dati nascosti'!$B$13*'dati nascosti'!$B$14/1000</f>
        <v>0.76986188880277173</v>
      </c>
      <c r="W80" s="158"/>
      <c r="X80" s="158"/>
      <c r="Y80" s="158"/>
      <c r="Z80" s="158"/>
      <c r="AA80" s="158"/>
      <c r="AB80" s="158"/>
      <c r="AC80" s="158"/>
      <c r="AD80" s="158"/>
      <c r="AE80" s="158"/>
      <c r="AF80"/>
      <c r="AG80"/>
    </row>
    <row r="81" spans="9:33" x14ac:dyDescent="0.25">
      <c r="I81" s="2"/>
      <c r="J81" s="2"/>
      <c r="M81" s="39">
        <f t="shared" si="4"/>
        <v>76</v>
      </c>
      <c r="N81" s="2"/>
      <c r="O81" s="25">
        <f t="shared" si="3"/>
        <v>7</v>
      </c>
      <c r="P81" s="38">
        <f t="shared" si="5"/>
        <v>6.7</v>
      </c>
      <c r="Q81" s="3">
        <f>IF(P81&lt;'dati nascosti'!$B$12,'dati nascosti'!$B$10^2*'dati nascosti'!$B$9*LN('dati nascosti'!$B$12/'dati nascosti'!$B$11)*(7+'dati nascosti'!$B$9*LN('dati nascosti'!$B$12/'dati nascosti'!$B$11)),'dati nascosti'!$B$10^2*'dati nascosti'!$B$9*LN(P81/'dati nascosti'!$B$11)*(7+'dati nascosti'!$B$9*LN(P81/'dati nascosti'!$B$11)))</f>
        <v>1.6342119731764906</v>
      </c>
      <c r="R81" s="2">
        <f>'dati nascosti'!$B$19*Q81*'dati nascosti'!$B$13*'dati nascosti'!$B$14/1000</f>
        <v>0.76986188880277173</v>
      </c>
      <c r="W81" s="158"/>
      <c r="X81" s="158"/>
      <c r="Y81" s="158"/>
      <c r="Z81" s="158"/>
      <c r="AA81" s="158"/>
      <c r="AB81" s="158"/>
      <c r="AC81" s="158"/>
      <c r="AD81" s="158"/>
      <c r="AE81" s="158"/>
      <c r="AF81"/>
      <c r="AG81"/>
    </row>
    <row r="82" spans="9:33" x14ac:dyDescent="0.25">
      <c r="I82" s="2"/>
      <c r="J82" s="2"/>
      <c r="M82" s="39">
        <f t="shared" si="4"/>
        <v>77</v>
      </c>
      <c r="N82" s="2"/>
      <c r="O82" s="25">
        <f t="shared" si="3"/>
        <v>8</v>
      </c>
      <c r="P82" s="38">
        <f t="shared" si="5"/>
        <v>6.8</v>
      </c>
      <c r="Q82" s="3">
        <f>IF(P82&lt;'dati nascosti'!$B$12,'dati nascosti'!$B$10^2*'dati nascosti'!$B$9*LN('dati nascosti'!$B$12/'dati nascosti'!$B$11)*(7+'dati nascosti'!$B$9*LN('dati nascosti'!$B$12/'dati nascosti'!$B$11)),'dati nascosti'!$B$10^2*'dati nascosti'!$B$9*LN(P82/'dati nascosti'!$B$11)*(7+'dati nascosti'!$B$9*LN(P82/'dati nascosti'!$B$11)))</f>
        <v>1.6342119731764906</v>
      </c>
      <c r="R82" s="2">
        <f>'dati nascosti'!$B$19*Q82*'dati nascosti'!$B$13*'dati nascosti'!$B$14/1000</f>
        <v>0.76986188880277173</v>
      </c>
      <c r="W82" s="158"/>
      <c r="X82" s="158"/>
      <c r="Y82" s="158"/>
      <c r="Z82" s="158"/>
      <c r="AA82" s="158"/>
      <c r="AB82" s="158"/>
      <c r="AC82" s="158"/>
      <c r="AD82" s="158"/>
      <c r="AE82" s="158"/>
      <c r="AF82"/>
      <c r="AG82"/>
    </row>
    <row r="83" spans="9:33" x14ac:dyDescent="0.25">
      <c r="I83" s="2"/>
      <c r="J83" s="2"/>
      <c r="M83" s="39">
        <f t="shared" si="4"/>
        <v>78</v>
      </c>
      <c r="N83" s="2"/>
      <c r="O83" s="25">
        <f t="shared" si="3"/>
        <v>9</v>
      </c>
      <c r="P83" s="38">
        <f t="shared" si="5"/>
        <v>6.9</v>
      </c>
      <c r="Q83" s="3">
        <f>IF(P83&lt;'dati nascosti'!$B$12,'dati nascosti'!$B$10^2*'dati nascosti'!$B$9*LN('dati nascosti'!$B$12/'dati nascosti'!$B$11)*(7+'dati nascosti'!$B$9*LN('dati nascosti'!$B$12/'dati nascosti'!$B$11)),'dati nascosti'!$B$10^2*'dati nascosti'!$B$9*LN(P83/'dati nascosti'!$B$11)*(7+'dati nascosti'!$B$9*LN(P83/'dati nascosti'!$B$11)))</f>
        <v>1.6342119731764906</v>
      </c>
      <c r="R83" s="2">
        <f>'dati nascosti'!$B$19*Q83*'dati nascosti'!$B$13*'dati nascosti'!$B$14/1000</f>
        <v>0.76986188880277173</v>
      </c>
    </row>
    <row r="84" spans="9:33" x14ac:dyDescent="0.25">
      <c r="I84" s="2"/>
      <c r="J84" s="2"/>
      <c r="M84" s="39">
        <f t="shared" si="4"/>
        <v>79</v>
      </c>
      <c r="N84" s="2"/>
      <c r="O84" s="25">
        <f t="shared" si="3"/>
        <v>10</v>
      </c>
      <c r="P84" s="38">
        <f t="shared" si="5"/>
        <v>7</v>
      </c>
      <c r="Q84" s="3">
        <f>IF(P84&lt;'dati nascosti'!$B$12,'dati nascosti'!$B$10^2*'dati nascosti'!$B$9*LN('dati nascosti'!$B$12/'dati nascosti'!$B$11)*(7+'dati nascosti'!$B$9*LN('dati nascosti'!$B$12/'dati nascosti'!$B$11)),'dati nascosti'!$B$10^2*'dati nascosti'!$B$9*LN(P84/'dati nascosti'!$B$11)*(7+'dati nascosti'!$B$9*LN(P84/'dati nascosti'!$B$11)))</f>
        <v>1.6342119731764906</v>
      </c>
      <c r="R84" s="2">
        <f>'dati nascosti'!$B$19*Q84*'dati nascosti'!$B$13*'dati nascosti'!$B$14/1000</f>
        <v>0.76986188880277173</v>
      </c>
    </row>
    <row r="85" spans="9:33" x14ac:dyDescent="0.25">
      <c r="I85" s="2"/>
      <c r="J85" s="2"/>
      <c r="M85" s="39">
        <f t="shared" si="4"/>
        <v>80</v>
      </c>
      <c r="N85" s="2"/>
      <c r="O85" s="25">
        <f t="shared" si="3"/>
        <v>11</v>
      </c>
      <c r="P85" s="38">
        <f t="shared" si="5"/>
        <v>7.1</v>
      </c>
      <c r="Q85" s="3">
        <f>IF(P85&lt;'dati nascosti'!$B$12,'dati nascosti'!$B$10^2*'dati nascosti'!$B$9*LN('dati nascosti'!$B$12/'dati nascosti'!$B$11)*(7+'dati nascosti'!$B$9*LN('dati nascosti'!$B$12/'dati nascosti'!$B$11)),'dati nascosti'!$B$10^2*'dati nascosti'!$B$9*LN(P85/'dati nascosti'!$B$11)*(7+'dati nascosti'!$B$9*LN(P85/'dati nascosti'!$B$11)))</f>
        <v>1.6342119731764906</v>
      </c>
      <c r="R85" s="2">
        <f>'dati nascosti'!$B$19*Q85*'dati nascosti'!$B$13*'dati nascosti'!$B$14/1000</f>
        <v>0.76986188880277173</v>
      </c>
    </row>
    <row r="86" spans="9:33" x14ac:dyDescent="0.25">
      <c r="I86" s="2"/>
      <c r="J86" s="2"/>
      <c r="M86" s="39">
        <f t="shared" si="4"/>
        <v>81</v>
      </c>
      <c r="N86" s="2"/>
      <c r="O86" s="25">
        <f t="shared" si="3"/>
        <v>12</v>
      </c>
      <c r="P86" s="38">
        <f t="shared" si="5"/>
        <v>7.2</v>
      </c>
      <c r="Q86" s="3">
        <f>IF(P86&lt;'dati nascosti'!$B$12,'dati nascosti'!$B$10^2*'dati nascosti'!$B$9*LN('dati nascosti'!$B$12/'dati nascosti'!$B$11)*(7+'dati nascosti'!$B$9*LN('dati nascosti'!$B$12/'dati nascosti'!$B$11)),'dati nascosti'!$B$10^2*'dati nascosti'!$B$9*LN(P86/'dati nascosti'!$B$11)*(7+'dati nascosti'!$B$9*LN(P86/'dati nascosti'!$B$11)))</f>
        <v>1.6342119731764906</v>
      </c>
      <c r="R86" s="2">
        <f>'dati nascosti'!$B$19*Q86*'dati nascosti'!$B$13*'dati nascosti'!$B$14/1000</f>
        <v>0.76986188880277173</v>
      </c>
    </row>
    <row r="87" spans="9:33" x14ac:dyDescent="0.25">
      <c r="I87" s="2"/>
      <c r="J87" s="2"/>
      <c r="M87" s="39">
        <f t="shared" si="4"/>
        <v>82</v>
      </c>
      <c r="N87" s="2"/>
      <c r="O87" s="25">
        <f t="shared" si="3"/>
        <v>13</v>
      </c>
      <c r="P87" s="38">
        <f t="shared" si="5"/>
        <v>7.3</v>
      </c>
      <c r="Q87" s="3">
        <f>IF(P87&lt;'dati nascosti'!$B$12,'dati nascosti'!$B$10^2*'dati nascosti'!$B$9*LN('dati nascosti'!$B$12/'dati nascosti'!$B$11)*(7+'dati nascosti'!$B$9*LN('dati nascosti'!$B$12/'dati nascosti'!$B$11)),'dati nascosti'!$B$10^2*'dati nascosti'!$B$9*LN(P87/'dati nascosti'!$B$11)*(7+'dati nascosti'!$B$9*LN(P87/'dati nascosti'!$B$11)))</f>
        <v>1.6342119731764906</v>
      </c>
      <c r="R87" s="2">
        <f>'dati nascosti'!$B$19*Q87*'dati nascosti'!$B$13*'dati nascosti'!$B$14/1000</f>
        <v>0.76986188880277173</v>
      </c>
    </row>
    <row r="88" spans="9:33" x14ac:dyDescent="0.25">
      <c r="I88" s="2"/>
      <c r="J88" s="2"/>
      <c r="M88" s="39">
        <f t="shared" si="4"/>
        <v>83</v>
      </c>
      <c r="N88" s="2"/>
      <c r="O88" s="25">
        <f t="shared" si="3"/>
        <v>14</v>
      </c>
      <c r="P88" s="38">
        <f t="shared" si="5"/>
        <v>7.4</v>
      </c>
      <c r="Q88" s="3">
        <f>IF(P88&lt;'dati nascosti'!$B$12,'dati nascosti'!$B$10^2*'dati nascosti'!$B$9*LN('dati nascosti'!$B$12/'dati nascosti'!$B$11)*(7+'dati nascosti'!$B$9*LN('dati nascosti'!$B$12/'dati nascosti'!$B$11)),'dati nascosti'!$B$10^2*'dati nascosti'!$B$9*LN(P88/'dati nascosti'!$B$11)*(7+'dati nascosti'!$B$9*LN(P88/'dati nascosti'!$B$11)))</f>
        <v>1.6342119731764906</v>
      </c>
      <c r="R88" s="2">
        <f>'dati nascosti'!$B$19*Q88*'dati nascosti'!$B$13*'dati nascosti'!$B$14/1000</f>
        <v>0.76986188880277173</v>
      </c>
    </row>
    <row r="89" spans="9:33" x14ac:dyDescent="0.25">
      <c r="I89" s="2"/>
      <c r="J89" s="2"/>
      <c r="M89" s="39">
        <f t="shared" si="4"/>
        <v>84</v>
      </c>
      <c r="N89" s="2"/>
      <c r="O89" s="25">
        <f t="shared" si="3"/>
        <v>15</v>
      </c>
      <c r="P89" s="38">
        <f t="shared" si="5"/>
        <v>7.5</v>
      </c>
      <c r="Q89" s="3">
        <f>IF(P89&lt;'dati nascosti'!$B$12,'dati nascosti'!$B$10^2*'dati nascosti'!$B$9*LN('dati nascosti'!$B$12/'dati nascosti'!$B$11)*(7+'dati nascosti'!$B$9*LN('dati nascosti'!$B$12/'dati nascosti'!$B$11)),'dati nascosti'!$B$10^2*'dati nascosti'!$B$9*LN(P89/'dati nascosti'!$B$11)*(7+'dati nascosti'!$B$9*LN(P89/'dati nascosti'!$B$11)))</f>
        <v>1.6342119731764906</v>
      </c>
      <c r="R89" s="2">
        <f>'dati nascosti'!$B$19*Q89*'dati nascosti'!$B$13*'dati nascosti'!$B$14/1000</f>
        <v>0.76986188880277173</v>
      </c>
    </row>
    <row r="90" spans="9:33" x14ac:dyDescent="0.25">
      <c r="I90" s="2"/>
      <c r="J90" s="2"/>
      <c r="M90" s="39">
        <f t="shared" si="4"/>
        <v>85</v>
      </c>
      <c r="N90" s="2"/>
      <c r="O90" s="25">
        <f t="shared" si="3"/>
        <v>16</v>
      </c>
      <c r="P90" s="38">
        <f t="shared" si="5"/>
        <v>7.6</v>
      </c>
      <c r="Q90" s="3">
        <f>IF(P90&lt;'dati nascosti'!$B$12,'dati nascosti'!$B$10^2*'dati nascosti'!$B$9*LN('dati nascosti'!$B$12/'dati nascosti'!$B$11)*(7+'dati nascosti'!$B$9*LN('dati nascosti'!$B$12/'dati nascosti'!$B$11)),'dati nascosti'!$B$10^2*'dati nascosti'!$B$9*LN(P90/'dati nascosti'!$B$11)*(7+'dati nascosti'!$B$9*LN(P90/'dati nascosti'!$B$11)))</f>
        <v>1.6342119731764906</v>
      </c>
      <c r="R90" s="2">
        <f>'dati nascosti'!$B$19*Q90*'dati nascosti'!$B$13*'dati nascosti'!$B$14/1000</f>
        <v>0.76986188880277173</v>
      </c>
    </row>
    <row r="91" spans="9:33" x14ac:dyDescent="0.25">
      <c r="I91" s="2"/>
      <c r="J91" s="2"/>
      <c r="M91" s="39">
        <f t="shared" si="4"/>
        <v>86</v>
      </c>
      <c r="N91" s="2"/>
      <c r="O91" s="25">
        <f t="shared" si="3"/>
        <v>17</v>
      </c>
      <c r="P91" s="38">
        <f t="shared" si="5"/>
        <v>7.7</v>
      </c>
      <c r="Q91" s="3">
        <f>IF(P91&lt;'dati nascosti'!$B$12,'dati nascosti'!$B$10^2*'dati nascosti'!$B$9*LN('dati nascosti'!$B$12/'dati nascosti'!$B$11)*(7+'dati nascosti'!$B$9*LN('dati nascosti'!$B$12/'dati nascosti'!$B$11)),'dati nascosti'!$B$10^2*'dati nascosti'!$B$9*LN(P91/'dati nascosti'!$B$11)*(7+'dati nascosti'!$B$9*LN(P91/'dati nascosti'!$B$11)))</f>
        <v>1.6342119731764906</v>
      </c>
      <c r="R91" s="2">
        <f>'dati nascosti'!$B$19*Q91*'dati nascosti'!$B$13*'dati nascosti'!$B$14/1000</f>
        <v>0.76986188880277173</v>
      </c>
    </row>
    <row r="92" spans="9:33" x14ac:dyDescent="0.25">
      <c r="I92" s="2"/>
      <c r="J92" s="2"/>
      <c r="M92" s="39">
        <f t="shared" si="4"/>
        <v>87</v>
      </c>
      <c r="N92" s="2"/>
      <c r="O92" s="25">
        <f t="shared" si="3"/>
        <v>18</v>
      </c>
      <c r="P92" s="38">
        <f t="shared" si="5"/>
        <v>7.8</v>
      </c>
      <c r="Q92" s="3">
        <f>IF(P92&lt;'dati nascosti'!$B$12,'dati nascosti'!$B$10^2*'dati nascosti'!$B$9*LN('dati nascosti'!$B$12/'dati nascosti'!$B$11)*(7+'dati nascosti'!$B$9*LN('dati nascosti'!$B$12/'dati nascosti'!$B$11)),'dati nascosti'!$B$10^2*'dati nascosti'!$B$9*LN(P92/'dati nascosti'!$B$11)*(7+'dati nascosti'!$B$9*LN(P92/'dati nascosti'!$B$11)))</f>
        <v>1.6342119731764906</v>
      </c>
      <c r="R92" s="2">
        <f>'dati nascosti'!$B$19*Q92*'dati nascosti'!$B$13*'dati nascosti'!$B$14/1000</f>
        <v>0.76986188880277173</v>
      </c>
    </row>
    <row r="93" spans="9:33" x14ac:dyDescent="0.25">
      <c r="I93" s="2"/>
      <c r="J93" s="2"/>
      <c r="M93" s="39">
        <f t="shared" si="4"/>
        <v>88</v>
      </c>
      <c r="N93" s="2"/>
      <c r="O93" s="25">
        <f t="shared" si="3"/>
        <v>19</v>
      </c>
      <c r="P93" s="38">
        <f t="shared" si="5"/>
        <v>7.9</v>
      </c>
      <c r="Q93" s="3">
        <f>IF(P93&lt;'dati nascosti'!$B$12,'dati nascosti'!$B$10^2*'dati nascosti'!$B$9*LN('dati nascosti'!$B$12/'dati nascosti'!$B$11)*(7+'dati nascosti'!$B$9*LN('dati nascosti'!$B$12/'dati nascosti'!$B$11)),'dati nascosti'!$B$10^2*'dati nascosti'!$B$9*LN(P93/'dati nascosti'!$B$11)*(7+'dati nascosti'!$B$9*LN(P93/'dati nascosti'!$B$11)))</f>
        <v>1.6342119731764906</v>
      </c>
      <c r="R93" s="2">
        <f>'dati nascosti'!$B$19*Q93*'dati nascosti'!$B$13*'dati nascosti'!$B$14/1000</f>
        <v>0.76986188880277173</v>
      </c>
    </row>
    <row r="94" spans="9:33" x14ac:dyDescent="0.25">
      <c r="I94" s="2"/>
      <c r="J94" s="2"/>
      <c r="M94" s="39">
        <f t="shared" si="4"/>
        <v>89</v>
      </c>
      <c r="N94" s="2"/>
      <c r="O94" s="25">
        <f t="shared" si="3"/>
        <v>20</v>
      </c>
      <c r="P94" s="38">
        <f t="shared" si="5"/>
        <v>8</v>
      </c>
      <c r="Q94" s="3">
        <f>IF(P94&lt;'dati nascosti'!$B$12,'dati nascosti'!$B$10^2*'dati nascosti'!$B$9*LN('dati nascosti'!$B$12/'dati nascosti'!$B$11)*(7+'dati nascosti'!$B$9*LN('dati nascosti'!$B$12/'dati nascosti'!$B$11)),'dati nascosti'!$B$10^2*'dati nascosti'!$B$9*LN(P94/'dati nascosti'!$B$11)*(7+'dati nascosti'!$B$9*LN(P94/'dati nascosti'!$B$11)))</f>
        <v>1.6342119731764906</v>
      </c>
      <c r="R94" s="2">
        <f>'dati nascosti'!$B$19*Q94*'dati nascosti'!$B$13*'dati nascosti'!$B$14/1000</f>
        <v>0.76986188880277173</v>
      </c>
    </row>
    <row r="95" spans="9:33" x14ac:dyDescent="0.25">
      <c r="I95" s="2"/>
      <c r="J95" s="2"/>
      <c r="M95" s="39">
        <f t="shared" si="4"/>
        <v>90</v>
      </c>
      <c r="N95" s="2"/>
      <c r="O95" s="25">
        <f t="shared" si="3"/>
        <v>21</v>
      </c>
      <c r="P95" s="38">
        <f t="shared" si="5"/>
        <v>8.1</v>
      </c>
      <c r="Q95" s="3">
        <f>IF(P95&lt;'dati nascosti'!$B$12,'dati nascosti'!$B$10^2*'dati nascosti'!$B$9*LN('dati nascosti'!$B$12/'dati nascosti'!$B$11)*(7+'dati nascosti'!$B$9*LN('dati nascosti'!$B$12/'dati nascosti'!$B$11)),'dati nascosti'!$B$10^2*'dati nascosti'!$B$9*LN(P95/'dati nascosti'!$B$11)*(7+'dati nascosti'!$B$9*LN(P95/'dati nascosti'!$B$11)))</f>
        <v>1.6423764975322275</v>
      </c>
      <c r="R95" s="2">
        <f>'dati nascosti'!$B$19*Q95*'dati nascosti'!$B$13*'dati nascosti'!$B$14/1000</f>
        <v>0.77370811942943052</v>
      </c>
    </row>
    <row r="96" spans="9:33" x14ac:dyDescent="0.25">
      <c r="I96" s="2"/>
      <c r="J96" s="2"/>
      <c r="N96" s="2"/>
      <c r="O96" s="25">
        <f t="shared" si="3"/>
        <v>22</v>
      </c>
      <c r="P96" s="38">
        <f t="shared" si="5"/>
        <v>8.1999999999999993</v>
      </c>
      <c r="Q96" s="3">
        <f>IF(P96&lt;'dati nascosti'!$B$12,'dati nascosti'!$B$10^2*'dati nascosti'!$B$9*LN('dati nascosti'!$B$12/'dati nascosti'!$B$11)*(7+'dati nascosti'!$B$9*LN('dati nascosti'!$B$12/'dati nascosti'!$B$11)),'dati nascosti'!$B$10^2*'dati nascosti'!$B$9*LN(P96/'dati nascosti'!$B$11)*(7+'dati nascosti'!$B$9*LN(P96/'dati nascosti'!$B$11)))</f>
        <v>1.6504555054087651</v>
      </c>
      <c r="R96" s="2">
        <f>'dati nascosti'!$B$19*Q96*'dati nascosti'!$B$13*'dati nascosti'!$B$14/1000</f>
        <v>0.77751406404712542</v>
      </c>
    </row>
    <row r="97" spans="9:18" x14ac:dyDescent="0.25">
      <c r="I97" s="2"/>
      <c r="J97" s="2"/>
      <c r="N97" s="2"/>
      <c r="O97" s="25">
        <f t="shared" si="3"/>
        <v>23</v>
      </c>
      <c r="P97" s="38">
        <f t="shared" si="5"/>
        <v>8.3000000000000007</v>
      </c>
      <c r="Q97" s="3">
        <f>IF(P97&lt;'dati nascosti'!$B$12,'dati nascosti'!$B$10^2*'dati nascosti'!$B$9*LN('dati nascosti'!$B$12/'dati nascosti'!$B$11)*(7+'dati nascosti'!$B$9*LN('dati nascosti'!$B$12/'dati nascosti'!$B$11)),'dati nascosti'!$B$10^2*'dati nascosti'!$B$9*LN(P97/'dati nascosti'!$B$11)*(7+'dati nascosti'!$B$9*LN(P97/'dati nascosti'!$B$11)))</f>
        <v>1.6584508933320428</v>
      </c>
      <c r="R97" s="2">
        <f>'dati nascosti'!$B$19*Q97*'dati nascosti'!$B$13*'dati nascosti'!$B$14/1000</f>
        <v>0.78128061609138755</v>
      </c>
    </row>
    <row r="98" spans="9:18" x14ac:dyDescent="0.25">
      <c r="I98" s="2"/>
      <c r="J98" s="2"/>
      <c r="N98" s="2"/>
      <c r="O98" s="25">
        <f t="shared" si="3"/>
        <v>24</v>
      </c>
      <c r="P98" s="38">
        <f t="shared" si="5"/>
        <v>8.4</v>
      </c>
      <c r="Q98" s="3">
        <f>IF(P98&lt;'dati nascosti'!$B$12,'dati nascosti'!$B$10^2*'dati nascosti'!$B$9*LN('dati nascosti'!$B$12/'dati nascosti'!$B$11)*(7+'dati nascosti'!$B$9*LN('dati nascosti'!$B$12/'dati nascosti'!$B$11)),'dati nascosti'!$B$10^2*'dati nascosti'!$B$9*LN(P98/'dati nascosti'!$B$11)*(7+'dati nascosti'!$B$9*LN(P98/'dati nascosti'!$B$11)))</f>
        <v>1.6663644938927464</v>
      </c>
      <c r="R98" s="2">
        <f>'dati nascosti'!$B$19*Q98*'dati nascosti'!$B$13*'dati nascosti'!$B$14/1000</f>
        <v>0.78500863887845107</v>
      </c>
    </row>
    <row r="99" spans="9:18" x14ac:dyDescent="0.25">
      <c r="I99" s="2"/>
      <c r="J99" s="2"/>
      <c r="N99" s="2"/>
      <c r="O99" s="25">
        <f t="shared" si="3"/>
        <v>25</v>
      </c>
      <c r="P99" s="38">
        <f t="shared" si="5"/>
        <v>8.5</v>
      </c>
      <c r="Q99" s="3">
        <f>IF(P99&lt;'dati nascosti'!$B$12,'dati nascosti'!$B$10^2*'dati nascosti'!$B$9*LN('dati nascosti'!$B$12/'dati nascosti'!$B$11)*(7+'dati nascosti'!$B$9*LN('dati nascosti'!$B$12/'dati nascosti'!$B$11)),'dati nascosti'!$B$10^2*'dati nascosti'!$B$9*LN(P99/'dati nascosti'!$B$11)*(7+'dati nascosti'!$B$9*LN(P99/'dati nascosti'!$B$11)))</f>
        <v>1.6741980786245327</v>
      </c>
      <c r="R99" s="2">
        <f>'dati nascosti'!$B$19*Q99*'dati nascosti'!$B$13*'dati nascosti'!$B$14/1000</f>
        <v>0.78869896696115827</v>
      </c>
    </row>
    <row r="100" spans="9:18" x14ac:dyDescent="0.25">
      <c r="I100" s="2"/>
      <c r="J100" s="2"/>
      <c r="N100" s="2"/>
      <c r="O100" s="25">
        <f t="shared" si="3"/>
        <v>26</v>
      </c>
      <c r="P100" s="38">
        <f t="shared" si="5"/>
        <v>8.6</v>
      </c>
      <c r="Q100" s="3">
        <f>IF(P100&lt;'dati nascosti'!$B$12,'dati nascosti'!$B$10^2*'dati nascosti'!$B$9*LN('dati nascosti'!$B$12/'dati nascosti'!$B$11)*(7+'dati nascosti'!$B$9*LN('dati nascosti'!$B$12/'dati nascosti'!$B$11)),'dati nascosti'!$B$10^2*'dati nascosti'!$B$9*LN(P100/'dati nascosti'!$B$11)*(7+'dati nascosti'!$B$9*LN(P100/'dati nascosti'!$B$11)))</f>
        <v>1.681953360720827</v>
      </c>
      <c r="R100" s="2">
        <f>'dati nascosti'!$B$19*Q100*'dati nascosti'!$B$13*'dati nascosti'!$B$14/1000</f>
        <v>0.79235240740881718</v>
      </c>
    </row>
    <row r="101" spans="9:18" x14ac:dyDescent="0.25">
      <c r="I101" s="2"/>
      <c r="J101" s="2"/>
      <c r="N101" s="2"/>
      <c r="O101" s="25">
        <f t="shared" si="3"/>
        <v>27</v>
      </c>
      <c r="P101" s="38">
        <f t="shared" si="5"/>
        <v>8.6999999999999993</v>
      </c>
      <c r="Q101" s="3">
        <f>IF(P101&lt;'dati nascosti'!$B$12,'dati nascosti'!$B$10^2*'dati nascosti'!$B$9*LN('dati nascosti'!$B$12/'dati nascosti'!$B$11)*(7+'dati nascosti'!$B$9*LN('dati nascosti'!$B$12/'dati nascosti'!$B$11)),'dati nascosti'!$B$10^2*'dati nascosti'!$B$9*LN(P101/'dati nascosti'!$B$11)*(7+'dati nascosti'!$B$9*LN(P101/'dati nascosti'!$B$11)))</f>
        <v>1.6896319976010012</v>
      </c>
      <c r="R101" s="2">
        <f>'dati nascosti'!$B$19*Q101*'dati nascosti'!$B$13*'dati nascosti'!$B$14/1000</f>
        <v>0.79596974101610385</v>
      </c>
    </row>
    <row r="102" spans="9:18" x14ac:dyDescent="0.25">
      <c r="I102" s="2"/>
      <c r="J102" s="2"/>
      <c r="N102" s="2"/>
      <c r="O102" s="25">
        <f t="shared" si="3"/>
        <v>28</v>
      </c>
      <c r="P102" s="38">
        <f t="shared" si="5"/>
        <v>8.8000000000000007</v>
      </c>
      <c r="Q102" s="3">
        <f>IF(P102&lt;'dati nascosti'!$B$12,'dati nascosti'!$B$10^2*'dati nascosti'!$B$9*LN('dati nascosti'!$B$12/'dati nascosti'!$B$11)*(7+'dati nascosti'!$B$9*LN('dati nascosti'!$B$12/'dati nascosti'!$B$11)),'dati nascosti'!$B$10^2*'dati nascosti'!$B$9*LN(P102/'dati nascosti'!$B$11)*(7+'dati nascosti'!$B$9*LN(P102/'dati nascosti'!$B$11)))</f>
        <v>1.6972355933358967</v>
      </c>
      <c r="R102" s="2">
        <f>'dati nascosti'!$B$19*Q102*'dati nascosti'!$B$13*'dati nascosti'!$B$14/1000</f>
        <v>0.79955172344570324</v>
      </c>
    </row>
    <row r="103" spans="9:18" x14ac:dyDescent="0.25">
      <c r="I103" s="2"/>
      <c r="J103" s="2"/>
      <c r="K103" s="2"/>
      <c r="L103" s="2"/>
      <c r="N103" s="2"/>
      <c r="O103" s="25">
        <f t="shared" si="3"/>
        <v>29</v>
      </c>
      <c r="P103" s="38">
        <f t="shared" si="5"/>
        <v>8.9</v>
      </c>
      <c r="Q103" s="3">
        <f>IF(P103&lt;'dati nascosti'!$B$12,'dati nascosti'!$B$10^2*'dati nascosti'!$B$9*LN('dati nascosti'!$B$12/'dati nascosti'!$B$11)*(7+'dati nascosti'!$B$9*LN('dati nascosti'!$B$12/'dati nascosti'!$B$11)),'dati nascosti'!$B$10^2*'dati nascosti'!$B$9*LN(P103/'dati nascosti'!$B$11)*(7+'dati nascosti'!$B$9*LN(P103/'dati nascosti'!$B$11)))</f>
        <v>1.704765700941884</v>
      </c>
      <c r="R103" s="2">
        <f>'dati nascosti'!$B$19*Q103*'dati nascosti'!$B$13*'dati nascosti'!$B$14/1000</f>
        <v>0.80309908630901972</v>
      </c>
    </row>
    <row r="104" spans="9:18" x14ac:dyDescent="0.25">
      <c r="I104" s="2"/>
      <c r="N104" s="2"/>
      <c r="O104" s="25">
        <f t="shared" si="3"/>
        <v>30</v>
      </c>
      <c r="P104" s="38">
        <f t="shared" si="5"/>
        <v>9</v>
      </c>
      <c r="Q104" s="3">
        <f>IF(P104&lt;'dati nascosti'!$B$12,'dati nascosti'!$B$10^2*'dati nascosti'!$B$9*LN('dati nascosti'!$B$12/'dati nascosti'!$B$11)*(7+'dati nascosti'!$B$9*LN('dati nascosti'!$B$12/'dati nascosti'!$B$11)),'dati nascosti'!$B$10^2*'dati nascosti'!$B$9*LN(P104/'dati nascosti'!$B$11)*(7+'dati nascosti'!$B$9*LN(P104/'dati nascosti'!$B$11)))</f>
        <v>1.7122238245519728</v>
      </c>
      <c r="R104" s="2">
        <f>'dati nascosti'!$B$19*Q104*'dati nascosti'!$B$13*'dati nascosti'!$B$14/1000</f>
        <v>0.80661253818896606</v>
      </c>
    </row>
  </sheetData>
  <customSheetViews>
    <customSheetView guid="{C56548B1-AD9F-45D5-A6C9-CFD9EB8CFADF}" scale="90" state="hidden" topLeftCell="U1">
      <selection activeCell="AE10" sqref="AE10"/>
      <pageMargins left="0.7" right="0.7" top="0.75" bottom="0.75" header="0.3" footer="0.3"/>
      <pageSetup paperSize="9" orientation="portrait" r:id="rId1"/>
    </customSheetView>
  </customSheetViews>
  <mergeCells count="32">
    <mergeCell ref="B48:D48"/>
    <mergeCell ref="B49:D49"/>
    <mergeCell ref="D4:G4"/>
    <mergeCell ref="D8:G8"/>
    <mergeCell ref="D19:G19"/>
    <mergeCell ref="D20:G20"/>
    <mergeCell ref="D21:G21"/>
    <mergeCell ref="B27:C27"/>
    <mergeCell ref="B28:C28"/>
    <mergeCell ref="D18:G18"/>
    <mergeCell ref="D6:G6"/>
    <mergeCell ref="D5:G5"/>
    <mergeCell ref="D22:G22"/>
    <mergeCell ref="D23:G23"/>
    <mergeCell ref="Y16:AD16"/>
    <mergeCell ref="Z17:AA17"/>
    <mergeCell ref="AB17:AD17"/>
    <mergeCell ref="Y23:AD23"/>
    <mergeCell ref="Z24:AA24"/>
    <mergeCell ref="AB24:AD24"/>
    <mergeCell ref="Y30:AD30"/>
    <mergeCell ref="Z31:AA31"/>
    <mergeCell ref="AB31:AD31"/>
    <mergeCell ref="Y37:AD37"/>
    <mergeCell ref="Z38:AA38"/>
    <mergeCell ref="AB38:AD38"/>
    <mergeCell ref="Y59:Z59"/>
    <mergeCell ref="Y44:AD44"/>
    <mergeCell ref="Y45:Z45"/>
    <mergeCell ref="Y51:AD51"/>
    <mergeCell ref="Y52:Z52"/>
    <mergeCell ref="Y58:AD58"/>
  </mergeCells>
  <dataValidations disablePrompts="1" count="1">
    <dataValidation allowBlank="1" showErrorMessage="1" sqref="D27"/>
  </dataValidation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53"/>
  <sheetViews>
    <sheetView showGridLines="0" showRowColHeaders="0" zoomScale="85" zoomScaleNormal="85" workbookViewId="0">
      <selection activeCell="M16" sqref="M16"/>
    </sheetView>
  </sheetViews>
  <sheetFormatPr defaultRowHeight="15" x14ac:dyDescent="0.25"/>
  <cols>
    <col min="2" max="2" width="60.42578125" customWidth="1"/>
  </cols>
  <sheetData>
    <row r="1" spans="2:12" ht="25.15" customHeight="1" x14ac:dyDescent="0.25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2:12" ht="25.15" customHeight="1" x14ac:dyDescent="0.25"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2:12" ht="25.15" customHeight="1" x14ac:dyDescent="0.25">
      <c r="B3" s="52" t="s">
        <v>35</v>
      </c>
      <c r="C3" s="52" t="s">
        <v>39</v>
      </c>
      <c r="D3" s="52" t="s">
        <v>89</v>
      </c>
      <c r="E3" s="52" t="s">
        <v>90</v>
      </c>
      <c r="F3" s="52" t="s">
        <v>91</v>
      </c>
      <c r="G3" s="44"/>
      <c r="H3" s="59" t="s">
        <v>79</v>
      </c>
      <c r="I3" s="60" t="s">
        <v>88</v>
      </c>
      <c r="J3" s="44"/>
      <c r="K3" s="44"/>
      <c r="L3" s="44"/>
    </row>
    <row r="4" spans="2:12" ht="25.15" customHeight="1" x14ac:dyDescent="0.25">
      <c r="B4" s="61" t="s">
        <v>40</v>
      </c>
      <c r="C4" s="62">
        <v>1</v>
      </c>
      <c r="D4" s="62">
        <v>25</v>
      </c>
      <c r="E4" s="62">
        <v>1000</v>
      </c>
      <c r="F4" s="63">
        <v>0.01</v>
      </c>
      <c r="G4" s="44"/>
      <c r="H4" s="54">
        <v>10</v>
      </c>
      <c r="I4" s="53">
        <f>0.75*(1-0.2*LN(-LN(1-1/H4)))^0.5</f>
        <v>0.90314247177433216</v>
      </c>
      <c r="J4" s="44"/>
      <c r="K4" s="44"/>
      <c r="L4" s="44"/>
    </row>
    <row r="5" spans="2:12" ht="25.15" customHeight="1" x14ac:dyDescent="0.25">
      <c r="B5" s="61" t="s">
        <v>41</v>
      </c>
      <c r="C5" s="62">
        <v>2</v>
      </c>
      <c r="D5" s="62">
        <v>25</v>
      </c>
      <c r="E5" s="62">
        <v>750</v>
      </c>
      <c r="F5" s="63">
        <v>1.4999999999999999E-2</v>
      </c>
      <c r="G5" s="44"/>
      <c r="H5" s="54">
        <f>H4+5</f>
        <v>15</v>
      </c>
      <c r="I5" s="53">
        <f t="shared" ref="I5:I68" si="0">0.75*(1-0.2*LN(-LN(1-1/H5)))^0.5</f>
        <v>0.92913783169900976</v>
      </c>
      <c r="J5" s="44"/>
      <c r="K5" s="44"/>
      <c r="L5" s="44"/>
    </row>
    <row r="6" spans="2:12" ht="25.15" customHeight="1" x14ac:dyDescent="0.25">
      <c r="B6" s="61" t="s">
        <v>42</v>
      </c>
      <c r="C6" s="62">
        <v>3</v>
      </c>
      <c r="D6" s="62">
        <v>27</v>
      </c>
      <c r="E6" s="62">
        <v>500</v>
      </c>
      <c r="F6" s="63">
        <v>0.02</v>
      </c>
      <c r="G6" s="44"/>
      <c r="H6" s="54">
        <f t="shared" ref="H6:H69" si="1">H5+5</f>
        <v>20</v>
      </c>
      <c r="I6" s="53">
        <f t="shared" si="0"/>
        <v>0.94691444466606578</v>
      </c>
      <c r="J6" s="44"/>
      <c r="K6" s="44"/>
      <c r="L6" s="44"/>
    </row>
    <row r="7" spans="2:12" ht="25.15" customHeight="1" x14ac:dyDescent="0.25">
      <c r="B7" s="61" t="s">
        <v>43</v>
      </c>
      <c r="C7" s="62">
        <v>4</v>
      </c>
      <c r="D7" s="62">
        <v>28</v>
      </c>
      <c r="E7" s="62">
        <v>500</v>
      </c>
      <c r="F7" s="63">
        <v>0.02</v>
      </c>
      <c r="G7" s="44"/>
      <c r="H7" s="54">
        <f t="shared" si="1"/>
        <v>25</v>
      </c>
      <c r="I7" s="53">
        <f t="shared" si="0"/>
        <v>0.96038279056457787</v>
      </c>
      <c r="J7" s="44"/>
      <c r="K7" s="44"/>
      <c r="L7" s="44"/>
    </row>
    <row r="8" spans="2:12" ht="25.15" customHeight="1" x14ac:dyDescent="0.25">
      <c r="B8" s="61" t="s">
        <v>44</v>
      </c>
      <c r="C8" s="62">
        <v>5</v>
      </c>
      <c r="D8" s="62">
        <v>28</v>
      </c>
      <c r="E8" s="62">
        <v>750</v>
      </c>
      <c r="F8" s="63">
        <v>1.4999999999999999E-2</v>
      </c>
      <c r="G8" s="44"/>
      <c r="H8" s="54">
        <f t="shared" si="1"/>
        <v>30</v>
      </c>
      <c r="I8" s="53">
        <f t="shared" si="0"/>
        <v>0.97120189997686168</v>
      </c>
      <c r="J8" s="44"/>
      <c r="K8" s="44"/>
      <c r="L8" s="44"/>
    </row>
    <row r="9" spans="2:12" ht="25.15" customHeight="1" x14ac:dyDescent="0.25">
      <c r="B9" s="61" t="s">
        <v>45</v>
      </c>
      <c r="C9" s="62">
        <v>6</v>
      </c>
      <c r="D9" s="62">
        <v>28</v>
      </c>
      <c r="E9" s="62">
        <v>500</v>
      </c>
      <c r="F9" s="63">
        <v>0.02</v>
      </c>
      <c r="G9" s="44"/>
      <c r="H9" s="54">
        <f t="shared" si="1"/>
        <v>35</v>
      </c>
      <c r="I9" s="53">
        <f t="shared" si="0"/>
        <v>0.98022958879064337</v>
      </c>
      <c r="J9" s="44"/>
      <c r="K9" s="44"/>
      <c r="L9" s="44"/>
    </row>
    <row r="10" spans="2:12" ht="25.15" customHeight="1" x14ac:dyDescent="0.25">
      <c r="B10" s="61" t="s">
        <v>46</v>
      </c>
      <c r="C10" s="62">
        <v>7</v>
      </c>
      <c r="D10" s="62">
        <v>28</v>
      </c>
      <c r="E10" s="62">
        <v>1000</v>
      </c>
      <c r="F10" s="63">
        <v>1.4999999999999999E-2</v>
      </c>
      <c r="G10" s="44"/>
      <c r="H10" s="54">
        <f t="shared" si="1"/>
        <v>40</v>
      </c>
      <c r="I10" s="53">
        <f t="shared" si="0"/>
        <v>0.98796650576820921</v>
      </c>
      <c r="J10" s="44"/>
      <c r="K10" s="44"/>
      <c r="L10" s="44"/>
    </row>
    <row r="11" spans="2:12" ht="25.15" customHeight="1" x14ac:dyDescent="0.25">
      <c r="B11" s="61" t="s">
        <v>47</v>
      </c>
      <c r="C11" s="62">
        <v>8</v>
      </c>
      <c r="D11" s="62">
        <v>30</v>
      </c>
      <c r="E11" s="62">
        <v>1500</v>
      </c>
      <c r="F11" s="63">
        <v>0.01</v>
      </c>
      <c r="G11" s="44"/>
      <c r="H11" s="54">
        <f t="shared" si="1"/>
        <v>45</v>
      </c>
      <c r="I11" s="53">
        <f t="shared" si="0"/>
        <v>0.99473001325592336</v>
      </c>
      <c r="J11" s="44"/>
      <c r="K11" s="44"/>
      <c r="L11" s="44"/>
    </row>
    <row r="12" spans="2:12" ht="25.15" customHeight="1" x14ac:dyDescent="0.25">
      <c r="B12" s="61" t="s">
        <v>48</v>
      </c>
      <c r="C12" s="62">
        <v>9</v>
      </c>
      <c r="D12" s="62">
        <v>31</v>
      </c>
      <c r="E12" s="62">
        <v>500</v>
      </c>
      <c r="F12" s="63">
        <v>0.02</v>
      </c>
      <c r="G12" s="44"/>
      <c r="H12" s="54">
        <f t="shared" si="1"/>
        <v>50</v>
      </c>
      <c r="I12" s="53">
        <f t="shared" si="0"/>
        <v>1.0007337802921321</v>
      </c>
      <c r="J12" s="44"/>
      <c r="K12" s="44"/>
      <c r="L12" s="44"/>
    </row>
    <row r="13" spans="2:12" ht="25.15" customHeight="1" x14ac:dyDescent="0.25">
      <c r="B13" s="64"/>
      <c r="C13" s="64"/>
      <c r="D13" s="64"/>
      <c r="E13" s="64"/>
      <c r="F13" s="64"/>
      <c r="G13" s="44"/>
      <c r="H13" s="54">
        <f t="shared" si="1"/>
        <v>55</v>
      </c>
      <c r="I13" s="53">
        <f t="shared" si="0"/>
        <v>1.0061284324193829</v>
      </c>
      <c r="J13" s="44"/>
      <c r="K13" s="44"/>
      <c r="L13" s="44"/>
    </row>
    <row r="14" spans="2:12" ht="25.15" customHeight="1" x14ac:dyDescent="0.25">
      <c r="B14" s="65" t="s">
        <v>35</v>
      </c>
      <c r="C14" s="285" t="s">
        <v>49</v>
      </c>
      <c r="D14" s="285"/>
      <c r="E14" s="285"/>
      <c r="F14" s="285"/>
      <c r="G14" s="44"/>
      <c r="H14" s="54">
        <f t="shared" si="1"/>
        <v>60</v>
      </c>
      <c r="I14" s="53">
        <f t="shared" si="0"/>
        <v>1.01102407832996</v>
      </c>
      <c r="J14" s="44"/>
      <c r="K14" s="44"/>
      <c r="L14" s="44"/>
    </row>
    <row r="15" spans="2:12" ht="25.15" customHeight="1" x14ac:dyDescent="0.25">
      <c r="B15" s="61" t="s">
        <v>50</v>
      </c>
      <c r="C15" s="285" t="s">
        <v>51</v>
      </c>
      <c r="D15" s="285"/>
      <c r="E15" s="285"/>
      <c r="F15" s="285"/>
      <c r="G15" s="44"/>
      <c r="H15" s="54">
        <f t="shared" si="1"/>
        <v>65</v>
      </c>
      <c r="I15" s="53">
        <f t="shared" si="0"/>
        <v>1.0155036110958284</v>
      </c>
      <c r="J15" s="44"/>
      <c r="K15" s="44"/>
      <c r="L15" s="44"/>
    </row>
    <row r="16" spans="2:12" ht="25.15" customHeight="1" x14ac:dyDescent="0.25">
      <c r="B16" s="65" t="s">
        <v>52</v>
      </c>
      <c r="C16" s="285" t="s">
        <v>53</v>
      </c>
      <c r="D16" s="285"/>
      <c r="E16" s="285"/>
      <c r="F16" s="285"/>
      <c r="G16" s="44"/>
      <c r="H16" s="54">
        <f t="shared" si="1"/>
        <v>70</v>
      </c>
      <c r="I16" s="53">
        <f t="shared" si="0"/>
        <v>1.0196309718360603</v>
      </c>
      <c r="J16" s="44"/>
      <c r="K16" s="44"/>
      <c r="L16" s="44"/>
    </row>
    <row r="17" spans="2:12" ht="25.15" customHeight="1" x14ac:dyDescent="0.25">
      <c r="B17" s="61" t="s">
        <v>54</v>
      </c>
      <c r="C17" s="285" t="s">
        <v>55</v>
      </c>
      <c r="D17" s="285"/>
      <c r="E17" s="285"/>
      <c r="F17" s="285"/>
      <c r="G17" s="44"/>
      <c r="H17" s="54">
        <f t="shared" si="1"/>
        <v>75</v>
      </c>
      <c r="I17" s="53">
        <f t="shared" si="0"/>
        <v>1.0234565024757023</v>
      </c>
      <c r="J17" s="44"/>
      <c r="K17" s="44"/>
      <c r="L17" s="44"/>
    </row>
    <row r="18" spans="2:12" ht="25.15" customHeight="1" x14ac:dyDescent="0.25">
      <c r="B18" s="61" t="s">
        <v>56</v>
      </c>
      <c r="C18" s="285" t="s">
        <v>57</v>
      </c>
      <c r="D18" s="285"/>
      <c r="E18" s="285"/>
      <c r="F18" s="285"/>
      <c r="G18" s="44"/>
      <c r="H18" s="54">
        <f t="shared" si="1"/>
        <v>80</v>
      </c>
      <c r="I18" s="53">
        <f t="shared" si="0"/>
        <v>1.0270205361062441</v>
      </c>
      <c r="J18" s="44"/>
      <c r="K18" s="44"/>
      <c r="L18" s="44"/>
    </row>
    <row r="19" spans="2:12" ht="25.15" customHeight="1" x14ac:dyDescent="0.25">
      <c r="B19" s="46"/>
      <c r="C19" s="64"/>
      <c r="D19" s="64"/>
      <c r="E19" s="64"/>
      <c r="F19" s="64"/>
      <c r="G19" s="44"/>
      <c r="H19" s="54">
        <f t="shared" si="1"/>
        <v>85</v>
      </c>
      <c r="I19" s="53">
        <f t="shared" si="0"/>
        <v>1.0303558776542665</v>
      </c>
      <c r="J19" s="44"/>
      <c r="K19" s="44"/>
      <c r="L19" s="44"/>
    </row>
    <row r="20" spans="2:12" ht="25.15" customHeight="1" x14ac:dyDescent="0.25">
      <c r="B20" s="47" t="s">
        <v>58</v>
      </c>
      <c r="C20" s="62" t="s">
        <v>80</v>
      </c>
      <c r="D20" s="62" t="s">
        <v>81</v>
      </c>
      <c r="E20" s="62" t="s">
        <v>82</v>
      </c>
      <c r="F20" s="64"/>
      <c r="G20" s="44"/>
      <c r="H20" s="54">
        <f t="shared" si="1"/>
        <v>90</v>
      </c>
      <c r="I20" s="53">
        <f t="shared" si="0"/>
        <v>1.0334895620918512</v>
      </c>
      <c r="J20" s="44"/>
      <c r="K20" s="44"/>
      <c r="L20" s="44"/>
    </row>
    <row r="21" spans="2:12" ht="25.15" customHeight="1" x14ac:dyDescent="0.25">
      <c r="B21" s="47" t="s">
        <v>62</v>
      </c>
      <c r="C21" s="62">
        <v>0.17</v>
      </c>
      <c r="D21" s="62">
        <v>0.01</v>
      </c>
      <c r="E21" s="62">
        <v>2</v>
      </c>
      <c r="F21" s="64"/>
      <c r="G21" s="44"/>
      <c r="H21" s="54">
        <f t="shared" si="1"/>
        <v>95</v>
      </c>
      <c r="I21" s="53">
        <f t="shared" si="0"/>
        <v>1.0364441285307389</v>
      </c>
      <c r="J21" s="44"/>
      <c r="K21" s="44"/>
      <c r="L21" s="44"/>
    </row>
    <row r="22" spans="2:12" ht="25.15" customHeight="1" x14ac:dyDescent="0.25">
      <c r="B22" s="47" t="s">
        <v>63</v>
      </c>
      <c r="C22" s="62">
        <v>0.19</v>
      </c>
      <c r="D22" s="62">
        <v>0.05</v>
      </c>
      <c r="E22" s="62">
        <v>4</v>
      </c>
      <c r="F22" s="64"/>
      <c r="G22" s="44"/>
      <c r="H22" s="54">
        <f t="shared" si="1"/>
        <v>100</v>
      </c>
      <c r="I22" s="53">
        <f t="shared" si="0"/>
        <v>1.0392385616461532</v>
      </c>
      <c r="J22" s="44"/>
      <c r="K22" s="44"/>
      <c r="L22" s="44"/>
    </row>
    <row r="23" spans="2:12" ht="25.15" customHeight="1" x14ac:dyDescent="0.25">
      <c r="B23" s="47" t="s">
        <v>64</v>
      </c>
      <c r="C23" s="62">
        <v>0.2</v>
      </c>
      <c r="D23" s="62">
        <v>0.1</v>
      </c>
      <c r="E23" s="62">
        <v>5</v>
      </c>
      <c r="F23" s="64"/>
      <c r="G23" s="44"/>
      <c r="H23" s="54">
        <f t="shared" si="1"/>
        <v>105</v>
      </c>
      <c r="I23" s="53">
        <f t="shared" si="0"/>
        <v>1.0418889993793494</v>
      </c>
      <c r="J23" s="44"/>
      <c r="K23" s="44"/>
      <c r="L23" s="44"/>
    </row>
    <row r="24" spans="2:12" ht="25.15" customHeight="1" x14ac:dyDescent="0.25">
      <c r="B24" s="47" t="s">
        <v>65</v>
      </c>
      <c r="C24" s="62">
        <v>0.22</v>
      </c>
      <c r="D24" s="62">
        <v>0.3</v>
      </c>
      <c r="E24" s="62">
        <v>8</v>
      </c>
      <c r="F24" s="64"/>
      <c r="G24" s="44"/>
      <c r="H24" s="54">
        <f t="shared" si="1"/>
        <v>110</v>
      </c>
      <c r="I24" s="53">
        <f t="shared" si="0"/>
        <v>1.0444092731774344</v>
      </c>
      <c r="J24" s="44"/>
      <c r="K24" s="44"/>
      <c r="L24" s="44"/>
    </row>
    <row r="25" spans="2:12" ht="25.15" customHeight="1" x14ac:dyDescent="0.25">
      <c r="B25" s="47" t="s">
        <v>66</v>
      </c>
      <c r="C25" s="62">
        <v>0.23</v>
      </c>
      <c r="D25" s="62">
        <v>0.7</v>
      </c>
      <c r="E25" s="62">
        <v>12</v>
      </c>
      <c r="F25" s="64"/>
      <c r="G25" s="44"/>
      <c r="H25" s="54">
        <f t="shared" si="1"/>
        <v>115</v>
      </c>
      <c r="I25" s="53">
        <f t="shared" si="0"/>
        <v>1.0468113261192826</v>
      </c>
      <c r="J25" s="44"/>
      <c r="K25" s="44"/>
      <c r="L25" s="44"/>
    </row>
    <row r="26" spans="2:12" ht="25.15" customHeight="1" x14ac:dyDescent="0.25">
      <c r="B26" s="44"/>
      <c r="C26" s="45"/>
      <c r="D26" s="45"/>
      <c r="E26" s="45"/>
      <c r="F26" s="45"/>
      <c r="G26" s="44"/>
      <c r="H26" s="54">
        <f t="shared" si="1"/>
        <v>120</v>
      </c>
      <c r="I26" s="53">
        <f t="shared" si="0"/>
        <v>1.049105540578835</v>
      </c>
      <c r="J26" s="44"/>
      <c r="K26" s="44"/>
      <c r="L26" s="44"/>
    </row>
    <row r="27" spans="2:12" ht="25.15" customHeight="1" x14ac:dyDescent="0.25">
      <c r="B27" s="44"/>
      <c r="C27" s="45"/>
      <c r="D27" s="45"/>
      <c r="E27" s="45"/>
      <c r="F27" s="45"/>
      <c r="G27" s="44"/>
      <c r="H27" s="54">
        <f t="shared" si="1"/>
        <v>125</v>
      </c>
      <c r="I27" s="53">
        <f t="shared" si="0"/>
        <v>1.0513009979097823</v>
      </c>
      <c r="J27" s="44"/>
      <c r="K27" s="44"/>
      <c r="L27" s="44"/>
    </row>
    <row r="28" spans="2:12" ht="25.15" customHeight="1" x14ac:dyDescent="0.25">
      <c r="B28" s="44"/>
      <c r="C28" s="45"/>
      <c r="D28" s="45"/>
      <c r="E28" s="45"/>
      <c r="F28" s="45"/>
      <c r="G28" s="44"/>
      <c r="H28" s="54">
        <f t="shared" si="1"/>
        <v>130</v>
      </c>
      <c r="I28" s="53">
        <f t="shared" si="0"/>
        <v>1.0534056863805785</v>
      </c>
      <c r="J28" s="44"/>
      <c r="K28" s="44"/>
      <c r="L28" s="44"/>
    </row>
    <row r="29" spans="2:12" ht="25.15" customHeight="1" x14ac:dyDescent="0.25">
      <c r="B29" s="44"/>
      <c r="C29" s="45"/>
      <c r="D29" s="45"/>
      <c r="E29" s="45"/>
      <c r="F29" s="45"/>
      <c r="G29" s="44"/>
      <c r="H29" s="54">
        <f t="shared" si="1"/>
        <v>135</v>
      </c>
      <c r="I29" s="53">
        <f t="shared" si="0"/>
        <v>1.0554266692452625</v>
      </c>
      <c r="J29" s="44"/>
      <c r="K29" s="44"/>
      <c r="L29" s="44"/>
    </row>
    <row r="30" spans="2:12" ht="25.15" customHeight="1" x14ac:dyDescent="0.25">
      <c r="B30" s="44"/>
      <c r="C30" s="45"/>
      <c r="D30" s="45"/>
      <c r="E30" s="45"/>
      <c r="F30" s="45"/>
      <c r="G30" s="44"/>
      <c r="H30" s="54">
        <f t="shared" si="1"/>
        <v>140</v>
      </c>
      <c r="I30" s="53">
        <f t="shared" si="0"/>
        <v>1.0573702217709586</v>
      </c>
      <c r="J30" s="44"/>
      <c r="K30" s="44"/>
      <c r="L30" s="44"/>
    </row>
    <row r="31" spans="2:12" ht="25.15" customHeight="1" x14ac:dyDescent="0.25">
      <c r="B31" s="44"/>
      <c r="C31" s="45"/>
      <c r="D31" s="45"/>
      <c r="E31" s="45"/>
      <c r="F31" s="45"/>
      <c r="G31" s="44"/>
      <c r="H31" s="54">
        <f t="shared" si="1"/>
        <v>145</v>
      </c>
      <c r="I31" s="53">
        <f t="shared" si="0"/>
        <v>1.0592419438487357</v>
      </c>
      <c r="J31" s="44"/>
      <c r="K31" s="44"/>
      <c r="L31" s="44"/>
    </row>
    <row r="32" spans="2:12" ht="25.15" customHeight="1" x14ac:dyDescent="0.25">
      <c r="B32" s="44"/>
      <c r="C32" s="45"/>
      <c r="D32" s="45"/>
      <c r="E32" s="45"/>
      <c r="F32" s="45"/>
      <c r="G32" s="44"/>
      <c r="H32" s="54">
        <f t="shared" si="1"/>
        <v>150</v>
      </c>
      <c r="I32" s="53">
        <f t="shared" si="0"/>
        <v>1.0610468532223396</v>
      </c>
      <c r="J32" s="44"/>
      <c r="K32" s="44"/>
      <c r="L32" s="44"/>
    </row>
    <row r="33" spans="2:12" ht="25.15" customHeight="1" x14ac:dyDescent="0.25">
      <c r="B33" s="44"/>
      <c r="C33" s="45"/>
      <c r="D33" s="45"/>
      <c r="E33" s="45"/>
      <c r="F33" s="45"/>
      <c r="G33" s="44"/>
      <c r="H33" s="54">
        <f t="shared" si="1"/>
        <v>155</v>
      </c>
      <c r="I33" s="53">
        <f t="shared" si="0"/>
        <v>1.0627894631995203</v>
      </c>
      <c r="J33" s="44"/>
      <c r="K33" s="44"/>
      <c r="L33" s="44"/>
    </row>
    <row r="34" spans="2:12" ht="25.15" customHeight="1" x14ac:dyDescent="0.25">
      <c r="B34" s="44"/>
      <c r="C34" s="45"/>
      <c r="D34" s="45"/>
      <c r="E34" s="45"/>
      <c r="F34" s="45"/>
      <c r="G34" s="44"/>
      <c r="H34" s="54">
        <f t="shared" si="1"/>
        <v>160</v>
      </c>
      <c r="I34" s="53">
        <f t="shared" si="0"/>
        <v>1.0644738478413656</v>
      </c>
      <c r="J34" s="44"/>
      <c r="K34" s="44"/>
      <c r="L34" s="44"/>
    </row>
    <row r="35" spans="2:12" ht="25.15" customHeight="1" x14ac:dyDescent="0.25">
      <c r="B35" s="44"/>
      <c r="C35" s="45"/>
      <c r="D35" s="45"/>
      <c r="E35" s="45"/>
      <c r="F35" s="45"/>
      <c r="G35" s="44"/>
      <c r="H35" s="54">
        <f t="shared" si="1"/>
        <v>165</v>
      </c>
      <c r="I35" s="53">
        <f t="shared" si="0"/>
        <v>1.0661036969721076</v>
      </c>
      <c r="J35" s="44"/>
      <c r="K35" s="44"/>
      <c r="L35" s="44"/>
    </row>
    <row r="36" spans="2:12" ht="25.15" customHeight="1" x14ac:dyDescent="0.25">
      <c r="B36" s="44"/>
      <c r="C36" s="45"/>
      <c r="D36" s="45"/>
      <c r="E36" s="45"/>
      <c r="F36" s="45"/>
      <c r="G36" s="44"/>
      <c r="H36" s="54">
        <f t="shared" si="1"/>
        <v>170</v>
      </c>
      <c r="I36" s="53">
        <f t="shared" si="0"/>
        <v>1.0676823628565562</v>
      </c>
      <c r="J36" s="44"/>
      <c r="K36" s="44"/>
      <c r="L36" s="44"/>
    </row>
    <row r="37" spans="2:12" ht="25.15" customHeight="1" x14ac:dyDescent="0.25">
      <c r="B37" s="44"/>
      <c r="C37" s="44"/>
      <c r="D37" s="44"/>
      <c r="E37" s="44"/>
      <c r="F37" s="44"/>
      <c r="G37" s="44"/>
      <c r="H37" s="54">
        <f t="shared" si="1"/>
        <v>175</v>
      </c>
      <c r="I37" s="53">
        <f t="shared" si="0"/>
        <v>1.0692129000131074</v>
      </c>
      <c r="J37" s="44"/>
      <c r="K37" s="44"/>
      <c r="L37" s="44"/>
    </row>
    <row r="38" spans="2:12" ht="25.15" customHeight="1" x14ac:dyDescent="0.25">
      <c r="B38" s="44"/>
      <c r="C38" s="44"/>
      <c r="D38" s="44"/>
      <c r="E38" s="44"/>
      <c r="F38" s="44"/>
      <c r="G38" s="44"/>
      <c r="H38" s="54">
        <f t="shared" si="1"/>
        <v>180</v>
      </c>
      <c r="I38" s="53">
        <f t="shared" si="0"/>
        <v>1.070698099337472</v>
      </c>
      <c r="J38" s="44"/>
      <c r="K38" s="44"/>
      <c r="L38" s="44"/>
    </row>
    <row r="39" spans="2:12" ht="25.15" customHeight="1" x14ac:dyDescent="0.25">
      <c r="B39" s="44"/>
      <c r="C39" s="44"/>
      <c r="D39" s="44"/>
      <c r="E39" s="44"/>
      <c r="F39" s="44"/>
      <c r="G39" s="44"/>
      <c r="H39" s="54">
        <f t="shared" si="1"/>
        <v>185</v>
      </c>
      <c r="I39" s="53">
        <f t="shared" si="0"/>
        <v>1.0721405174842671</v>
      </c>
      <c r="J39" s="44"/>
      <c r="K39" s="44"/>
      <c r="L39" s="44"/>
    </row>
    <row r="40" spans="2:12" ht="25.15" customHeight="1" x14ac:dyDescent="0.25">
      <c r="B40" s="44"/>
      <c r="C40" s="44"/>
      <c r="D40" s="44"/>
      <c r="E40" s="44"/>
      <c r="F40" s="44"/>
      <c r="G40" s="44"/>
      <c r="H40" s="54">
        <f t="shared" si="1"/>
        <v>190</v>
      </c>
      <c r="I40" s="53">
        <f t="shared" si="0"/>
        <v>1.0735425022748137</v>
      </c>
      <c r="J40" s="44"/>
      <c r="K40" s="44"/>
      <c r="L40" s="44"/>
    </row>
    <row r="41" spans="2:12" ht="25.15" customHeight="1" x14ac:dyDescent="0.25">
      <c r="B41" s="44"/>
      <c r="C41" s="44"/>
      <c r="D41" s="44"/>
      <c r="E41" s="44"/>
      <c r="F41" s="44"/>
      <c r="G41" s="44"/>
      <c r="H41" s="54">
        <f t="shared" si="1"/>
        <v>195</v>
      </c>
      <c r="I41" s="53">
        <f t="shared" si="0"/>
        <v>1.074906214758208</v>
      </c>
      <c r="J41" s="44"/>
      <c r="K41" s="44"/>
      <c r="L41" s="44"/>
    </row>
    <row r="42" spans="2:12" ht="25.15" customHeight="1" x14ac:dyDescent="0.25">
      <c r="B42" s="44"/>
      <c r="C42" s="44"/>
      <c r="D42" s="44"/>
      <c r="E42" s="44"/>
      <c r="F42" s="44"/>
      <c r="G42" s="44"/>
      <c r="H42" s="54">
        <f t="shared" si="1"/>
        <v>200</v>
      </c>
      <c r="I42" s="53">
        <f t="shared" si="0"/>
        <v>1.0762336484403332</v>
      </c>
      <c r="J42" s="44"/>
      <c r="K42" s="44"/>
      <c r="L42" s="44"/>
    </row>
    <row r="43" spans="2:12" ht="25.15" customHeight="1" x14ac:dyDescent="0.25">
      <c r="B43" s="44"/>
      <c r="C43" s="44"/>
      <c r="D43" s="44"/>
      <c r="E43" s="44"/>
      <c r="F43" s="44"/>
      <c r="G43" s="44"/>
      <c r="H43" s="54">
        <f t="shared" si="1"/>
        <v>205</v>
      </c>
      <c r="I43" s="53">
        <f t="shared" si="0"/>
        <v>1.0775266461055821</v>
      </c>
      <c r="J43" s="44"/>
      <c r="K43" s="44"/>
      <c r="L43" s="44"/>
    </row>
    <row r="44" spans="2:12" ht="25.15" customHeight="1" x14ac:dyDescent="0.25">
      <c r="B44" s="44"/>
      <c r="C44" s="44"/>
      <c r="D44" s="44"/>
      <c r="E44" s="44"/>
      <c r="F44" s="44"/>
      <c r="G44" s="44"/>
      <c r="H44" s="54">
        <f t="shared" si="1"/>
        <v>210</v>
      </c>
      <c r="I44" s="53">
        <f t="shared" si="0"/>
        <v>1.0787869145835749</v>
      </c>
      <c r="J44" s="44"/>
      <c r="K44" s="44"/>
      <c r="L44" s="44"/>
    </row>
    <row r="45" spans="2:12" ht="25.15" customHeight="1" x14ac:dyDescent="0.25">
      <c r="B45" s="44"/>
      <c r="C45" s="44"/>
      <c r="D45" s="44"/>
      <c r="E45" s="44"/>
      <c r="F45" s="44"/>
      <c r="G45" s="44"/>
      <c r="H45" s="54">
        <f t="shared" si="1"/>
        <v>215</v>
      </c>
      <c r="I45" s="53">
        <f t="shared" si="0"/>
        <v>1.0800160377545249</v>
      </c>
      <c r="J45" s="44"/>
      <c r="K45" s="44"/>
      <c r="L45" s="44"/>
    </row>
    <row r="46" spans="2:12" ht="25.15" customHeight="1" x14ac:dyDescent="0.25">
      <c r="B46" s="44"/>
      <c r="C46" s="44"/>
      <c r="D46" s="44"/>
      <c r="E46" s="44"/>
      <c r="F46" s="44"/>
      <c r="G46" s="44"/>
      <c r="H46" s="54">
        <f t="shared" si="1"/>
        <v>220</v>
      </c>
      <c r="I46" s="53">
        <f t="shared" si="0"/>
        <v>1.0812154880391427</v>
      </c>
      <c r="J46" s="44"/>
      <c r="K46" s="44"/>
      <c r="L46" s="44"/>
    </row>
    <row r="47" spans="2:12" ht="25.15" customHeight="1" x14ac:dyDescent="0.25">
      <c r="B47" s="44"/>
      <c r="C47" s="44"/>
      <c r="D47" s="44"/>
      <c r="E47" s="44"/>
      <c r="F47" s="44"/>
      <c r="G47" s="44"/>
      <c r="H47" s="54">
        <f t="shared" si="1"/>
        <v>225</v>
      </c>
      <c r="I47" s="53">
        <f t="shared" si="0"/>
        <v>1.082386636579844</v>
      </c>
      <c r="J47" s="44"/>
      <c r="K47" s="44"/>
      <c r="L47" s="44"/>
    </row>
    <row r="48" spans="2:12" ht="25.15" customHeight="1" x14ac:dyDescent="0.25">
      <c r="B48" s="44"/>
      <c r="C48" s="44"/>
      <c r="D48" s="44"/>
      <c r="E48" s="44"/>
      <c r="F48" s="44"/>
      <c r="G48" s="44"/>
      <c r="H48" s="54">
        <f t="shared" si="1"/>
        <v>230</v>
      </c>
      <c r="I48" s="53">
        <f t="shared" si="0"/>
        <v>1.0835307622879164</v>
      </c>
      <c r="J48" s="44"/>
      <c r="K48" s="44"/>
      <c r="L48" s="44"/>
    </row>
    <row r="49" spans="2:12" ht="25.15" customHeight="1" x14ac:dyDescent="0.25">
      <c r="B49" s="44"/>
      <c r="C49" s="44"/>
      <c r="D49" s="44"/>
      <c r="E49" s="44"/>
      <c r="F49" s="44"/>
      <c r="G49" s="44"/>
      <c r="H49" s="54">
        <f t="shared" si="1"/>
        <v>235</v>
      </c>
      <c r="I49" s="53">
        <f t="shared" si="0"/>
        <v>1.0846490599046814</v>
      </c>
      <c r="J49" s="44"/>
      <c r="K49" s="44"/>
      <c r="L49" s="44"/>
    </row>
    <row r="50" spans="2:12" ht="25.15" customHeight="1" x14ac:dyDescent="0.25">
      <c r="B50" s="44"/>
      <c r="C50" s="44"/>
      <c r="D50" s="44"/>
      <c r="E50" s="44"/>
      <c r="F50" s="44"/>
      <c r="G50" s="44"/>
      <c r="H50" s="54">
        <f t="shared" si="1"/>
        <v>240</v>
      </c>
      <c r="I50" s="53">
        <f t="shared" si="0"/>
        <v>1.085742647202695</v>
      </c>
      <c r="J50" s="44"/>
      <c r="K50" s="44"/>
      <c r="L50" s="44"/>
    </row>
    <row r="51" spans="2:12" ht="25.15" customHeight="1" x14ac:dyDescent="0.25">
      <c r="B51" s="44"/>
      <c r="C51" s="44"/>
      <c r="D51" s="44"/>
      <c r="E51" s="44"/>
      <c r="F51" s="44"/>
      <c r="G51" s="44"/>
      <c r="H51" s="54">
        <f t="shared" si="1"/>
        <v>245</v>
      </c>
      <c r="I51" s="53">
        <f t="shared" si="0"/>
        <v>1.086812571434594</v>
      </c>
      <c r="J51" s="44"/>
      <c r="K51" s="44"/>
      <c r="L51" s="44"/>
    </row>
    <row r="52" spans="2:12" ht="25.15" customHeight="1" x14ac:dyDescent="0.25">
      <c r="B52" s="44"/>
      <c r="C52" s="44"/>
      <c r="D52" s="44"/>
      <c r="E52" s="44"/>
      <c r="F52" s="44"/>
      <c r="G52" s="44"/>
      <c r="H52" s="54">
        <f t="shared" si="1"/>
        <v>250</v>
      </c>
      <c r="I52" s="53">
        <f t="shared" si="0"/>
        <v>1.0878598151218681</v>
      </c>
      <c r="J52" s="44"/>
      <c r="K52" s="44"/>
      <c r="L52" s="44"/>
    </row>
    <row r="53" spans="2:12" ht="25.15" customHeight="1" x14ac:dyDescent="0.25">
      <c r="B53" s="44"/>
      <c r="C53" s="44"/>
      <c r="D53" s="44"/>
      <c r="E53" s="44"/>
      <c r="F53" s="44"/>
      <c r="G53" s="44"/>
      <c r="H53" s="54">
        <f t="shared" si="1"/>
        <v>255</v>
      </c>
      <c r="I53" s="53">
        <f t="shared" si="0"/>
        <v>1.0888853012628652</v>
      </c>
      <c r="J53" s="44"/>
      <c r="K53" s="44"/>
      <c r="L53" s="44"/>
    </row>
    <row r="54" spans="2:12" ht="25.15" customHeight="1" x14ac:dyDescent="0.25">
      <c r="B54" s="44"/>
      <c r="C54" s="44"/>
      <c r="D54" s="44"/>
      <c r="E54" s="44"/>
      <c r="F54" s="44"/>
      <c r="G54" s="44"/>
      <c r="H54" s="54">
        <f t="shared" si="1"/>
        <v>260</v>
      </c>
      <c r="I54" s="53">
        <f t="shared" si="0"/>
        <v>1.0898898980284994</v>
      </c>
      <c r="J54" s="44"/>
      <c r="K54" s="44"/>
      <c r="L54" s="44"/>
    </row>
    <row r="55" spans="2:12" ht="25.15" customHeight="1" x14ac:dyDescent="0.25">
      <c r="B55" s="44"/>
      <c r="C55" s="44"/>
      <c r="D55" s="44"/>
      <c r="E55" s="44"/>
      <c r="F55" s="44"/>
      <c r="G55" s="44"/>
      <c r="H55" s="54">
        <f t="shared" si="1"/>
        <v>265</v>
      </c>
      <c r="I55" s="53">
        <f t="shared" si="0"/>
        <v>1.0908744230048619</v>
      </c>
      <c r="J55" s="44"/>
      <c r="K55" s="44"/>
      <c r="L55" s="44"/>
    </row>
    <row r="56" spans="2:12" ht="25.15" customHeight="1" x14ac:dyDescent="0.25">
      <c r="B56" s="44"/>
      <c r="C56" s="44"/>
      <c r="D56" s="44"/>
      <c r="E56" s="44"/>
      <c r="F56" s="44"/>
      <c r="G56" s="44"/>
      <c r="H56" s="54">
        <f t="shared" si="1"/>
        <v>270</v>
      </c>
      <c r="I56" s="53">
        <f t="shared" si="0"/>
        <v>1.0918396470341369</v>
      </c>
      <c r="J56" s="44"/>
      <c r="K56" s="44"/>
      <c r="L56" s="44"/>
    </row>
    <row r="57" spans="2:12" ht="25.15" customHeight="1" x14ac:dyDescent="0.25">
      <c r="B57" s="44"/>
      <c r="C57" s="44"/>
      <c r="D57" s="44"/>
      <c r="E57" s="44"/>
      <c r="F57" s="44"/>
      <c r="G57" s="44"/>
      <c r="H57" s="54">
        <f t="shared" si="1"/>
        <v>275</v>
      </c>
      <c r="I57" s="53">
        <f t="shared" si="0"/>
        <v>1.0927862976985416</v>
      </c>
      <c r="J57" s="44"/>
      <c r="K57" s="44"/>
      <c r="L57" s="44"/>
    </row>
    <row r="58" spans="2:12" ht="25.15" customHeight="1" x14ac:dyDescent="0.25">
      <c r="B58" s="44"/>
      <c r="C58" s="44"/>
      <c r="D58" s="44"/>
      <c r="E58" s="44"/>
      <c r="F58" s="44"/>
      <c r="G58" s="44"/>
      <c r="H58" s="54">
        <f t="shared" si="1"/>
        <v>280</v>
      </c>
      <c r="I58" s="53">
        <f t="shared" si="0"/>
        <v>1.0937150624863372</v>
      </c>
      <c r="J58" s="44"/>
      <c r="K58" s="44"/>
      <c r="L58" s="44"/>
    </row>
    <row r="59" spans="2:12" ht="25.15" customHeight="1" x14ac:dyDescent="0.25">
      <c r="B59" s="44"/>
      <c r="C59" s="44"/>
      <c r="D59" s="44"/>
      <c r="E59" s="44"/>
      <c r="F59" s="44"/>
      <c r="G59" s="44"/>
      <c r="H59" s="54">
        <f t="shared" si="1"/>
        <v>285</v>
      </c>
      <c r="I59" s="53">
        <f t="shared" si="0"/>
        <v>1.0946265916740203</v>
      </c>
      <c r="J59" s="44"/>
      <c r="K59" s="44"/>
      <c r="L59" s="44"/>
    </row>
    <row r="60" spans="2:12" ht="25.15" customHeight="1" x14ac:dyDescent="0.25">
      <c r="B60" s="44"/>
      <c r="C60" s="44"/>
      <c r="D60" s="44"/>
      <c r="E60" s="44"/>
      <c r="F60" s="44"/>
      <c r="G60" s="44"/>
      <c r="H60" s="54">
        <f t="shared" si="1"/>
        <v>290</v>
      </c>
      <c r="I60" s="53">
        <f t="shared" si="0"/>
        <v>1.095521500954681</v>
      </c>
      <c r="J60" s="44"/>
      <c r="K60" s="44"/>
      <c r="L60" s="44"/>
    </row>
    <row r="61" spans="2:12" ht="25.15" customHeight="1" x14ac:dyDescent="0.25">
      <c r="B61" s="44"/>
      <c r="C61" s="44"/>
      <c r="D61" s="44"/>
      <c r="E61" s="44"/>
      <c r="F61" s="44"/>
      <c r="G61" s="44"/>
      <c r="H61" s="54">
        <f t="shared" si="1"/>
        <v>295</v>
      </c>
      <c r="I61" s="53">
        <f t="shared" si="0"/>
        <v>1.0964003738388195</v>
      </c>
      <c r="J61" s="44"/>
      <c r="K61" s="44"/>
      <c r="L61" s="44"/>
    </row>
    <row r="62" spans="2:12" ht="25.15" customHeight="1" x14ac:dyDescent="0.25">
      <c r="B62" s="44"/>
      <c r="C62" s="44"/>
      <c r="D62" s="44"/>
      <c r="E62" s="44"/>
      <c r="F62" s="44"/>
      <c r="G62" s="44"/>
      <c r="H62" s="54">
        <f t="shared" si="1"/>
        <v>300</v>
      </c>
      <c r="I62" s="53">
        <f t="shared" si="0"/>
        <v>1.0972637638508393</v>
      </c>
      <c r="J62" s="44"/>
      <c r="K62" s="44"/>
      <c r="L62" s="44"/>
    </row>
    <row r="63" spans="2:12" ht="25.15" customHeight="1" x14ac:dyDescent="0.25">
      <c r="B63" s="44"/>
      <c r="C63" s="44"/>
      <c r="D63" s="44"/>
      <c r="E63" s="44"/>
      <c r="F63" s="44"/>
      <c r="G63" s="44"/>
      <c r="H63" s="54">
        <f t="shared" si="1"/>
        <v>305</v>
      </c>
      <c r="I63" s="53">
        <f t="shared" si="0"/>
        <v>1.0981121965417078</v>
      </c>
      <c r="J63" s="44"/>
      <c r="K63" s="44"/>
      <c r="L63" s="44"/>
    </row>
    <row r="64" spans="2:12" ht="25.15" customHeight="1" x14ac:dyDescent="0.25">
      <c r="B64" s="44"/>
      <c r="C64" s="44"/>
      <c r="D64" s="44"/>
      <c r="E64" s="44"/>
      <c r="F64" s="44"/>
      <c r="G64" s="44"/>
      <c r="H64" s="54">
        <f t="shared" si="1"/>
        <v>310</v>
      </c>
      <c r="I64" s="53">
        <f t="shared" si="0"/>
        <v>1.0989461713358977</v>
      </c>
      <c r="J64" s="44"/>
      <c r="K64" s="44"/>
      <c r="L64" s="44"/>
    </row>
    <row r="65" spans="2:12" ht="25.15" customHeight="1" x14ac:dyDescent="0.25">
      <c r="B65" s="44"/>
      <c r="C65" s="44"/>
      <c r="D65" s="44"/>
      <c r="E65" s="44"/>
      <c r="F65" s="44"/>
      <c r="G65" s="44"/>
      <c r="H65" s="54">
        <f t="shared" si="1"/>
        <v>315</v>
      </c>
      <c r="I65" s="53">
        <f t="shared" si="0"/>
        <v>1.0997661632287137</v>
      </c>
      <c r="J65" s="44"/>
      <c r="K65" s="44"/>
      <c r="L65" s="44"/>
    </row>
    <row r="66" spans="2:12" ht="25.15" customHeight="1" x14ac:dyDescent="0.25">
      <c r="B66" s="44"/>
      <c r="C66" s="44"/>
      <c r="D66" s="44"/>
      <c r="E66" s="44"/>
      <c r="F66" s="44"/>
      <c r="G66" s="44"/>
      <c r="H66" s="54">
        <f t="shared" si="1"/>
        <v>320</v>
      </c>
      <c r="I66" s="53">
        <f t="shared" si="0"/>
        <v>1.1005726243482847</v>
      </c>
      <c r="J66" s="44"/>
      <c r="K66" s="44"/>
      <c r="L66" s="44"/>
    </row>
    <row r="67" spans="2:12" ht="25.15" customHeight="1" x14ac:dyDescent="0.25">
      <c r="B67" s="44"/>
      <c r="C67" s="44"/>
      <c r="D67" s="44"/>
      <c r="E67" s="44"/>
      <c r="F67" s="44"/>
      <c r="G67" s="44"/>
      <c r="H67" s="54">
        <f t="shared" si="1"/>
        <v>325</v>
      </c>
      <c r="I67" s="53">
        <f t="shared" si="0"/>
        <v>1.1013659853949533</v>
      </c>
      <c r="J67" s="44"/>
      <c r="K67" s="44"/>
      <c r="L67" s="44"/>
    </row>
    <row r="68" spans="2:12" ht="25.15" customHeight="1" x14ac:dyDescent="0.25">
      <c r="B68" s="44"/>
      <c r="C68" s="44"/>
      <c r="D68" s="44"/>
      <c r="E68" s="44"/>
      <c r="F68" s="44"/>
      <c r="G68" s="44"/>
      <c r="H68" s="54">
        <f t="shared" si="1"/>
        <v>330</v>
      </c>
      <c r="I68" s="53">
        <f t="shared" si="0"/>
        <v>1.1021466569694025</v>
      </c>
      <c r="J68" s="44"/>
      <c r="K68" s="44"/>
      <c r="L68" s="44"/>
    </row>
    <row r="69" spans="2:12" ht="25.15" customHeight="1" x14ac:dyDescent="0.25">
      <c r="B69" s="44"/>
      <c r="C69" s="44"/>
      <c r="D69" s="44"/>
      <c r="E69" s="44"/>
      <c r="F69" s="44"/>
      <c r="G69" s="44"/>
      <c r="H69" s="54">
        <f t="shared" si="1"/>
        <v>335</v>
      </c>
      <c r="I69" s="53">
        <f t="shared" ref="I69:I102" si="2">0.75*(1-0.2*LN(-LN(1-1/H69)))^0.5</f>
        <v>1.1029150307996933</v>
      </c>
      <c r="J69" s="44"/>
      <c r="K69" s="44"/>
      <c r="L69" s="44"/>
    </row>
    <row r="70" spans="2:12" ht="25.15" customHeight="1" x14ac:dyDescent="0.25">
      <c r="B70" s="44"/>
      <c r="C70" s="44"/>
      <c r="D70" s="44"/>
      <c r="E70" s="44"/>
      <c r="F70" s="44"/>
      <c r="G70" s="44"/>
      <c r="H70" s="54">
        <f t="shared" ref="H70:H102" si="3">H69+5</f>
        <v>340</v>
      </c>
      <c r="I70" s="53">
        <f t="shared" si="2"/>
        <v>1.1036714808762682</v>
      </c>
      <c r="J70" s="44"/>
      <c r="K70" s="44"/>
      <c r="L70" s="44"/>
    </row>
    <row r="71" spans="2:12" ht="25.15" customHeight="1" x14ac:dyDescent="0.25">
      <c r="B71" s="44"/>
      <c r="C71" s="44"/>
      <c r="D71" s="44"/>
      <c r="E71" s="44"/>
      <c r="F71" s="44"/>
      <c r="G71" s="44"/>
      <c r="H71" s="54">
        <f t="shared" si="3"/>
        <v>345</v>
      </c>
      <c r="I71" s="53">
        <f t="shared" si="2"/>
        <v>1.1044163645030824</v>
      </c>
      <c r="J71" s="44"/>
      <c r="K71" s="44"/>
      <c r="L71" s="44"/>
    </row>
    <row r="72" spans="2:12" ht="25.15" customHeight="1" x14ac:dyDescent="0.25">
      <c r="B72" s="44"/>
      <c r="C72" s="44"/>
      <c r="D72" s="44"/>
      <c r="E72" s="44"/>
      <c r="F72" s="44"/>
      <c r="G72" s="44"/>
      <c r="H72" s="54">
        <f t="shared" si="3"/>
        <v>350</v>
      </c>
      <c r="I72" s="53">
        <f t="shared" si="2"/>
        <v>1.1051500232721798</v>
      </c>
      <c r="J72" s="44"/>
      <c r="K72" s="44"/>
      <c r="L72" s="44"/>
    </row>
    <row r="73" spans="2:12" ht="25.15" customHeight="1" x14ac:dyDescent="0.25">
      <c r="B73" s="44"/>
      <c r="C73" s="44"/>
      <c r="D73" s="44"/>
      <c r="E73" s="44"/>
      <c r="F73" s="44"/>
      <c r="G73" s="44"/>
      <c r="H73" s="54">
        <f t="shared" si="3"/>
        <v>355</v>
      </c>
      <c r="I73" s="53">
        <f t="shared" si="2"/>
        <v>1.105872783968306</v>
      </c>
      <c r="J73" s="44"/>
      <c r="K73" s="44"/>
      <c r="L73" s="44"/>
    </row>
    <row r="74" spans="2:12" ht="25.15" customHeight="1" x14ac:dyDescent="0.25">
      <c r="B74" s="44"/>
      <c r="C74" s="44"/>
      <c r="D74" s="44"/>
      <c r="E74" s="44"/>
      <c r="F74" s="44"/>
      <c r="G74" s="44"/>
      <c r="H74" s="54">
        <f t="shared" si="3"/>
        <v>360</v>
      </c>
      <c r="I74" s="53">
        <f t="shared" si="2"/>
        <v>1.1065849594094628</v>
      </c>
      <c r="J74" s="44"/>
      <c r="K74" s="44"/>
      <c r="L74" s="44"/>
    </row>
    <row r="75" spans="2:12" ht="25.15" customHeight="1" x14ac:dyDescent="0.25">
      <c r="B75" s="44"/>
      <c r="C75" s="44"/>
      <c r="D75" s="44"/>
      <c r="E75" s="44"/>
      <c r="F75" s="44"/>
      <c r="G75" s="44"/>
      <c r="H75" s="54">
        <f t="shared" si="3"/>
        <v>365</v>
      </c>
      <c r="I75" s="53">
        <f t="shared" si="2"/>
        <v>1.1072868492288062</v>
      </c>
      <c r="J75" s="44"/>
      <c r="K75" s="44"/>
      <c r="L75" s="44"/>
    </row>
    <row r="76" spans="2:12" ht="25.15" customHeight="1" x14ac:dyDescent="0.25">
      <c r="B76" s="44"/>
      <c r="C76" s="44"/>
      <c r="D76" s="44"/>
      <c r="E76" s="44"/>
      <c r="F76" s="44"/>
      <c r="G76" s="44"/>
      <c r="H76" s="54">
        <f t="shared" si="3"/>
        <v>370</v>
      </c>
      <c r="I76" s="53">
        <f t="shared" si="2"/>
        <v>1.1079787406026906</v>
      </c>
      <c r="J76" s="44"/>
      <c r="K76" s="44"/>
      <c r="L76" s="44"/>
    </row>
    <row r="77" spans="2:12" ht="25.15" customHeight="1" x14ac:dyDescent="0.25">
      <c r="B77" s="44"/>
      <c r="C77" s="44"/>
      <c r="D77" s="44"/>
      <c r="E77" s="44"/>
      <c r="F77" s="44"/>
      <c r="G77" s="44"/>
      <c r="H77" s="54">
        <f t="shared" si="3"/>
        <v>375</v>
      </c>
      <c r="I77" s="53">
        <f t="shared" si="2"/>
        <v>1.1086609089292538</v>
      </c>
      <c r="J77" s="44"/>
      <c r="K77" s="44"/>
      <c r="L77" s="44"/>
    </row>
    <row r="78" spans="2:12" ht="25.15" customHeight="1" x14ac:dyDescent="0.25">
      <c r="B78" s="44"/>
      <c r="C78" s="44"/>
      <c r="D78" s="44"/>
      <c r="E78" s="44"/>
      <c r="F78" s="44"/>
      <c r="G78" s="44"/>
      <c r="H78" s="54">
        <f t="shared" si="3"/>
        <v>380</v>
      </c>
      <c r="I78" s="53">
        <f t="shared" si="2"/>
        <v>1.1093336184615306</v>
      </c>
      <c r="J78" s="44"/>
      <c r="K78" s="44"/>
      <c r="L78" s="44"/>
    </row>
    <row r="79" spans="2:12" ht="25.15" customHeight="1" x14ac:dyDescent="0.25">
      <c r="B79" s="44"/>
      <c r="C79" s="44"/>
      <c r="D79" s="44"/>
      <c r="E79" s="44"/>
      <c r="F79" s="44"/>
      <c r="G79" s="44"/>
      <c r="H79" s="54">
        <f t="shared" si="3"/>
        <v>385</v>
      </c>
      <c r="I79" s="53">
        <f t="shared" si="2"/>
        <v>1.1099971228986598</v>
      </c>
      <c r="J79" s="44"/>
      <c r="K79" s="44"/>
      <c r="L79" s="44"/>
    </row>
    <row r="80" spans="2:12" ht="25.15" customHeight="1" x14ac:dyDescent="0.25">
      <c r="B80" s="44"/>
      <c r="C80" s="44"/>
      <c r="D80" s="44"/>
      <c r="E80" s="44"/>
      <c r="F80" s="44"/>
      <c r="G80" s="44"/>
      <c r="H80" s="54">
        <f t="shared" si="3"/>
        <v>390</v>
      </c>
      <c r="I80" s="53">
        <f t="shared" si="2"/>
        <v>1.1106516659385122</v>
      </c>
      <c r="J80" s="44"/>
      <c r="K80" s="44"/>
      <c r="L80" s="44"/>
    </row>
    <row r="81" spans="2:12" ht="25.15" customHeight="1" x14ac:dyDescent="0.25">
      <c r="B81" s="44"/>
      <c r="C81" s="44"/>
      <c r="D81" s="44"/>
      <c r="E81" s="44"/>
      <c r="F81" s="44"/>
      <c r="G81" s="44"/>
      <c r="H81" s="54">
        <f t="shared" si="3"/>
        <v>395</v>
      </c>
      <c r="I81" s="53">
        <f t="shared" si="2"/>
        <v>1.1112974817946781</v>
      </c>
      <c r="J81" s="44"/>
      <c r="K81" s="44"/>
      <c r="L81" s="44"/>
    </row>
    <row r="82" spans="2:12" ht="25.15" customHeight="1" x14ac:dyDescent="0.25">
      <c r="B82" s="44"/>
      <c r="C82" s="44"/>
      <c r="D82" s="44"/>
      <c r="E82" s="44"/>
      <c r="F82" s="44"/>
      <c r="G82" s="44"/>
      <c r="H82" s="54">
        <f t="shared" si="3"/>
        <v>400</v>
      </c>
      <c r="I82" s="53">
        <f t="shared" si="2"/>
        <v>1.1119347956805583</v>
      </c>
      <c r="J82" s="44"/>
      <c r="K82" s="44"/>
      <c r="L82" s="44"/>
    </row>
    <row r="83" spans="2:12" ht="25.15" customHeight="1" x14ac:dyDescent="0.25">
      <c r="B83" s="44"/>
      <c r="C83" s="44"/>
      <c r="D83" s="44"/>
      <c r="E83" s="44"/>
      <c r="F83" s="44"/>
      <c r="G83" s="44"/>
      <c r="H83" s="54">
        <f t="shared" si="3"/>
        <v>405</v>
      </c>
      <c r="I83" s="53">
        <f t="shared" si="2"/>
        <v>1.1125638242630134</v>
      </c>
      <c r="J83" s="44"/>
      <c r="K83" s="44"/>
      <c r="L83" s="44"/>
    </row>
    <row r="84" spans="2:12" ht="25.15" customHeight="1" x14ac:dyDescent="0.25">
      <c r="B84" s="44"/>
      <c r="C84" s="44"/>
      <c r="D84" s="44"/>
      <c r="E84" s="44"/>
      <c r="F84" s="44"/>
      <c r="G84" s="44"/>
      <c r="H84" s="54">
        <f t="shared" si="3"/>
        <v>410</v>
      </c>
      <c r="I84" s="53">
        <f t="shared" si="2"/>
        <v>1.1131847760878655</v>
      </c>
      <c r="J84" s="44"/>
      <c r="K84" s="44"/>
      <c r="L84" s="44"/>
    </row>
    <row r="85" spans="2:12" ht="25.15" customHeight="1" x14ac:dyDescent="0.25">
      <c r="B85" s="44"/>
      <c r="C85" s="44"/>
      <c r="D85" s="44"/>
      <c r="E85" s="44"/>
      <c r="F85" s="44"/>
      <c r="G85" s="44"/>
      <c r="H85" s="54">
        <f t="shared" si="3"/>
        <v>415</v>
      </c>
      <c r="I85" s="53">
        <f t="shared" si="2"/>
        <v>1.1137978519792913</v>
      </c>
      <c r="J85" s="44"/>
      <c r="K85" s="44"/>
      <c r="L85" s="44"/>
    </row>
    <row r="86" spans="2:12" ht="25.15" customHeight="1" x14ac:dyDescent="0.25">
      <c r="B86" s="44"/>
      <c r="C86" s="44"/>
      <c r="D86" s="44"/>
      <c r="E86" s="44"/>
      <c r="F86" s="44"/>
      <c r="G86" s="44"/>
      <c r="H86" s="54">
        <f t="shared" si="3"/>
        <v>420</v>
      </c>
      <c r="I86" s="53">
        <f t="shared" si="2"/>
        <v>1.1144032454150117</v>
      </c>
      <c r="J86" s="44"/>
      <c r="K86" s="44"/>
      <c r="L86" s="44"/>
    </row>
    <row r="87" spans="2:12" ht="25.15" customHeight="1" x14ac:dyDescent="0.25">
      <c r="B87" s="44"/>
      <c r="C87" s="44"/>
      <c r="D87" s="44"/>
      <c r="E87" s="44"/>
      <c r="F87" s="44"/>
      <c r="G87" s="44"/>
      <c r="H87" s="54">
        <f t="shared" si="3"/>
        <v>425</v>
      </c>
      <c r="I87" s="53">
        <f t="shared" si="2"/>
        <v>1.1150011428790321</v>
      </c>
      <c r="J87" s="44"/>
      <c r="K87" s="44"/>
      <c r="L87" s="44"/>
    </row>
    <row r="88" spans="2:12" ht="25.15" customHeight="1" x14ac:dyDescent="0.25">
      <c r="B88" s="44"/>
      <c r="C88" s="44"/>
      <c r="D88" s="44"/>
      <c r="E88" s="44"/>
      <c r="F88" s="44"/>
      <c r="G88" s="44"/>
      <c r="H88" s="54">
        <f t="shared" si="3"/>
        <v>430</v>
      </c>
      <c r="I88" s="53">
        <f t="shared" si="2"/>
        <v>1.1155917241934883</v>
      </c>
      <c r="J88" s="44"/>
      <c r="K88" s="44"/>
      <c r="L88" s="44"/>
    </row>
    <row r="89" spans="2:12" ht="25.15" customHeight="1" x14ac:dyDescent="0.25">
      <c r="B89" s="44"/>
      <c r="C89" s="44"/>
      <c r="D89" s="44"/>
      <c r="E89" s="44"/>
      <c r="F89" s="44"/>
      <c r="G89" s="44"/>
      <c r="H89" s="54">
        <f t="shared" si="3"/>
        <v>435</v>
      </c>
      <c r="I89" s="53">
        <f t="shared" si="2"/>
        <v>1.1161751628311067</v>
      </c>
      <c r="J89" s="44"/>
      <c r="K89" s="44"/>
      <c r="L89" s="44"/>
    </row>
    <row r="90" spans="2:12" ht="25.15" customHeight="1" x14ac:dyDescent="0.25">
      <c r="B90" s="44"/>
      <c r="C90" s="44"/>
      <c r="D90" s="44"/>
      <c r="E90" s="44"/>
      <c r="F90" s="44"/>
      <c r="G90" s="44"/>
      <c r="H90" s="54">
        <f t="shared" si="3"/>
        <v>440</v>
      </c>
      <c r="I90" s="53">
        <f t="shared" si="2"/>
        <v>1.1167516262095742</v>
      </c>
      <c r="J90" s="44"/>
      <c r="K90" s="44"/>
      <c r="L90" s="44"/>
    </row>
    <row r="91" spans="2:12" ht="25.15" customHeight="1" x14ac:dyDescent="0.25">
      <c r="B91" s="44"/>
      <c r="C91" s="44"/>
      <c r="D91" s="44"/>
      <c r="E91" s="44"/>
      <c r="F91" s="44"/>
      <c r="G91" s="44"/>
      <c r="H91" s="54">
        <f t="shared" si="3"/>
        <v>445</v>
      </c>
      <c r="I91" s="53">
        <f t="shared" si="2"/>
        <v>1.1173212759691014</v>
      </c>
      <c r="J91" s="44"/>
      <c r="K91" s="44"/>
      <c r="L91" s="44"/>
    </row>
    <row r="92" spans="2:12" ht="25.15" customHeight="1" x14ac:dyDescent="0.25">
      <c r="B92" s="44"/>
      <c r="C92" s="44"/>
      <c r="D92" s="44"/>
      <c r="E92" s="44"/>
      <c r="F92" s="44"/>
      <c r="G92" s="44"/>
      <c r="H92" s="54">
        <f t="shared" si="3"/>
        <v>450</v>
      </c>
      <c r="I92" s="53">
        <f t="shared" si="2"/>
        <v>1.1178842682342789</v>
      </c>
      <c r="J92" s="44"/>
      <c r="K92" s="44"/>
      <c r="L92" s="44"/>
    </row>
    <row r="93" spans="2:12" ht="25.15" customHeight="1" x14ac:dyDescent="0.25">
      <c r="B93" s="44"/>
      <c r="C93" s="44"/>
      <c r="D93" s="44"/>
      <c r="E93" s="44"/>
      <c r="F93" s="44"/>
      <c r="G93" s="44"/>
      <c r="H93" s="54">
        <f t="shared" si="3"/>
        <v>455</v>
      </c>
      <c r="I93" s="53">
        <f t="shared" si="2"/>
        <v>1.1184407538613177</v>
      </c>
      <c r="J93" s="44"/>
      <c r="K93" s="44"/>
      <c r="L93" s="44"/>
    </row>
    <row r="94" spans="2:12" ht="25.15" customHeight="1" x14ac:dyDescent="0.25">
      <c r="B94" s="44"/>
      <c r="C94" s="44"/>
      <c r="D94" s="44"/>
      <c r="E94" s="44"/>
      <c r="F94" s="44"/>
      <c r="G94" s="44"/>
      <c r="H94" s="54">
        <f t="shared" si="3"/>
        <v>460</v>
      </c>
      <c r="I94" s="53">
        <f t="shared" si="2"/>
        <v>1.118990878671597</v>
      </c>
      <c r="J94" s="44"/>
      <c r="K94" s="44"/>
      <c r="L94" s="44"/>
    </row>
    <row r="95" spans="2:12" ht="25.15" customHeight="1" x14ac:dyDescent="0.25">
      <c r="B95" s="44"/>
      <c r="C95" s="44"/>
      <c r="D95" s="44"/>
      <c r="E95" s="44"/>
      <c r="F95" s="44"/>
      <c r="G95" s="44"/>
      <c r="H95" s="54">
        <f t="shared" si="3"/>
        <v>465</v>
      </c>
      <c r="I95" s="53">
        <f t="shared" si="2"/>
        <v>1.1195347836724561</v>
      </c>
      <c r="J95" s="44"/>
      <c r="K95" s="44"/>
      <c r="L95" s="44"/>
    </row>
    <row r="96" spans="2:12" ht="25.15" customHeight="1" x14ac:dyDescent="0.25">
      <c r="B96" s="44"/>
      <c r="C96" s="44"/>
      <c r="D96" s="44"/>
      <c r="E96" s="44"/>
      <c r="F96" s="44"/>
      <c r="G96" s="44"/>
      <c r="H96" s="54">
        <f t="shared" si="3"/>
        <v>470</v>
      </c>
      <c r="I96" s="53">
        <f t="shared" si="2"/>
        <v>1.1200726052660412</v>
      </c>
      <c r="J96" s="44"/>
      <c r="K96" s="44"/>
      <c r="L96" s="44"/>
    </row>
    <row r="97" spans="2:12" ht="25.15" customHeight="1" x14ac:dyDescent="0.25">
      <c r="B97" s="44"/>
      <c r="C97" s="44"/>
      <c r="D97" s="44"/>
      <c r="E97" s="44"/>
      <c r="F97" s="44"/>
      <c r="G97" s="44"/>
      <c r="H97" s="54">
        <f t="shared" si="3"/>
        <v>475</v>
      </c>
      <c r="I97" s="53">
        <f t="shared" si="2"/>
        <v>1.120604475446954</v>
      </c>
      <c r="J97" s="44"/>
      <c r="K97" s="44"/>
      <c r="L97" s="44"/>
    </row>
    <row r="98" spans="2:12" ht="25.15" customHeight="1" x14ac:dyDescent="0.25">
      <c r="B98" s="44"/>
      <c r="C98" s="44"/>
      <c r="D98" s="44"/>
      <c r="E98" s="44"/>
      <c r="F98" s="44"/>
      <c r="G98" s="44"/>
      <c r="H98" s="54">
        <f t="shared" si="3"/>
        <v>480</v>
      </c>
      <c r="I98" s="53">
        <f t="shared" si="2"/>
        <v>1.1211305219894632</v>
      </c>
      <c r="J98" s="44"/>
      <c r="K98" s="44"/>
      <c r="L98" s="44"/>
    </row>
    <row r="99" spans="2:12" ht="25.15" customHeight="1" x14ac:dyDescent="0.25">
      <c r="B99" s="44"/>
      <c r="C99" s="44"/>
      <c r="D99" s="44"/>
      <c r="E99" s="44"/>
      <c r="F99" s="44"/>
      <c r="G99" s="44"/>
      <c r="H99" s="54">
        <f t="shared" si="3"/>
        <v>485</v>
      </c>
      <c r="I99" s="53">
        <f t="shared" si="2"/>
        <v>1.1216508686248758</v>
      </c>
      <c r="J99" s="44"/>
      <c r="K99" s="44"/>
      <c r="L99" s="44"/>
    </row>
    <row r="100" spans="2:12" ht="25.15" customHeight="1" x14ac:dyDescent="0.25">
      <c r="B100" s="44"/>
      <c r="C100" s="44"/>
      <c r="D100" s="44"/>
      <c r="E100" s="44"/>
      <c r="F100" s="44"/>
      <c r="G100" s="44"/>
      <c r="H100" s="54">
        <f t="shared" si="3"/>
        <v>490</v>
      </c>
      <c r="I100" s="53">
        <f t="shared" si="2"/>
        <v>1.1221656352097182</v>
      </c>
      <c r="J100" s="44"/>
      <c r="K100" s="44"/>
      <c r="L100" s="44"/>
    </row>
    <row r="101" spans="2:12" ht="25.15" customHeight="1" x14ac:dyDescent="0.25">
      <c r="B101" s="44"/>
      <c r="C101" s="44"/>
      <c r="D101" s="44"/>
      <c r="E101" s="44"/>
      <c r="F101" s="44"/>
      <c r="G101" s="44"/>
      <c r="H101" s="54">
        <f t="shared" si="3"/>
        <v>495</v>
      </c>
      <c r="I101" s="53">
        <f t="shared" si="2"/>
        <v>1.1226749378852849</v>
      </c>
      <c r="J101" s="44"/>
      <c r="K101" s="44"/>
      <c r="L101" s="44"/>
    </row>
    <row r="102" spans="2:12" ht="25.15" customHeight="1" x14ac:dyDescent="0.25">
      <c r="B102" s="44"/>
      <c r="C102" s="44"/>
      <c r="D102" s="44"/>
      <c r="E102" s="44"/>
      <c r="F102" s="44"/>
      <c r="G102" s="44"/>
      <c r="H102" s="54">
        <f t="shared" si="3"/>
        <v>500</v>
      </c>
      <c r="I102" s="53">
        <f t="shared" si="2"/>
        <v>1.1231788892290664</v>
      </c>
      <c r="J102" s="44"/>
      <c r="K102" s="44"/>
      <c r="L102" s="44"/>
    </row>
    <row r="103" spans="2:12" ht="25.15" customHeight="1" x14ac:dyDescent="0.25">
      <c r="B103" s="44"/>
      <c r="C103" s="44"/>
      <c r="D103" s="44"/>
      <c r="E103" s="44"/>
      <c r="F103" s="44"/>
      <c r="G103" s="44"/>
      <c r="H103" s="48"/>
      <c r="I103" s="48"/>
      <c r="J103" s="44"/>
      <c r="K103" s="44"/>
      <c r="L103" s="44"/>
    </row>
    <row r="104" spans="2:12" ht="25.15" customHeight="1" x14ac:dyDescent="0.25">
      <c r="B104" s="44"/>
      <c r="C104" s="44"/>
      <c r="D104" s="44"/>
      <c r="E104" s="44"/>
      <c r="F104" s="44"/>
      <c r="G104" s="44"/>
      <c r="H104" s="48"/>
      <c r="I104" s="48"/>
      <c r="J104" s="44"/>
      <c r="K104" s="44"/>
      <c r="L104" s="44"/>
    </row>
    <row r="105" spans="2:12" ht="25.15" customHeight="1" x14ac:dyDescent="0.25">
      <c r="B105" s="44"/>
      <c r="C105" s="44"/>
      <c r="D105" s="44"/>
      <c r="E105" s="44"/>
      <c r="F105" s="44"/>
      <c r="G105" s="44"/>
      <c r="H105" s="48"/>
      <c r="I105" s="48"/>
      <c r="J105" s="44"/>
      <c r="K105" s="44"/>
      <c r="L105" s="44"/>
    </row>
    <row r="106" spans="2:12" ht="25.15" customHeight="1" x14ac:dyDescent="0.25">
      <c r="B106" s="44"/>
      <c r="C106" s="44"/>
      <c r="D106" s="44"/>
      <c r="E106" s="44"/>
      <c r="F106" s="44"/>
      <c r="G106" s="44"/>
      <c r="H106" s="48"/>
      <c r="I106" s="48"/>
      <c r="J106" s="44"/>
      <c r="K106" s="44"/>
      <c r="L106" s="44"/>
    </row>
    <row r="107" spans="2:12" ht="25.15" customHeight="1" x14ac:dyDescent="0.25">
      <c r="B107" s="44"/>
      <c r="C107" s="44"/>
      <c r="D107" s="44"/>
      <c r="E107" s="44"/>
      <c r="F107" s="44"/>
      <c r="G107" s="44"/>
      <c r="H107" s="48"/>
      <c r="I107" s="48"/>
      <c r="J107" s="44"/>
      <c r="K107" s="44"/>
      <c r="L107" s="44"/>
    </row>
    <row r="108" spans="2:12" ht="25.15" customHeight="1" x14ac:dyDescent="0.25">
      <c r="B108" s="44"/>
      <c r="C108" s="44"/>
      <c r="D108" s="44"/>
      <c r="E108" s="44"/>
      <c r="F108" s="44"/>
      <c r="G108" s="44"/>
      <c r="H108" s="48"/>
      <c r="I108" s="48"/>
      <c r="J108" s="44"/>
      <c r="K108" s="44"/>
      <c r="L108" s="44"/>
    </row>
    <row r="109" spans="2:12" ht="25.15" customHeight="1" x14ac:dyDescent="0.25">
      <c r="B109" s="44"/>
      <c r="C109" s="44"/>
      <c r="D109" s="44"/>
      <c r="E109" s="44"/>
      <c r="F109" s="44"/>
      <c r="G109" s="44"/>
      <c r="H109" s="48"/>
      <c r="I109" s="48"/>
      <c r="J109" s="44"/>
      <c r="K109" s="44"/>
      <c r="L109" s="44"/>
    </row>
    <row r="110" spans="2:12" ht="25.15" customHeight="1" x14ac:dyDescent="0.25">
      <c r="B110" s="44"/>
      <c r="C110" s="44"/>
      <c r="D110" s="44"/>
      <c r="E110" s="44"/>
      <c r="F110" s="44"/>
      <c r="G110" s="44"/>
      <c r="H110" s="48"/>
      <c r="I110" s="48"/>
      <c r="J110" s="44"/>
      <c r="K110" s="44"/>
      <c r="L110" s="44"/>
    </row>
    <row r="111" spans="2:12" ht="25.15" customHeight="1" x14ac:dyDescent="0.25">
      <c r="B111" s="44"/>
      <c r="C111" s="44"/>
      <c r="D111" s="44"/>
      <c r="E111" s="44"/>
      <c r="F111" s="44"/>
      <c r="G111" s="44"/>
      <c r="H111" s="48"/>
      <c r="I111" s="48"/>
      <c r="J111" s="44"/>
      <c r="K111" s="44"/>
      <c r="L111" s="44"/>
    </row>
    <row r="112" spans="2:12" ht="25.15" customHeight="1" x14ac:dyDescent="0.25">
      <c r="B112" s="44"/>
      <c r="C112" s="44"/>
      <c r="D112" s="44"/>
      <c r="E112" s="44"/>
      <c r="F112" s="44"/>
      <c r="G112" s="44"/>
      <c r="H112" s="48"/>
      <c r="I112" s="48"/>
      <c r="J112" s="44"/>
      <c r="K112" s="44"/>
      <c r="L112" s="44"/>
    </row>
    <row r="113" spans="2:12" ht="25.15" customHeight="1" x14ac:dyDescent="0.25">
      <c r="B113" s="44"/>
      <c r="C113" s="44"/>
      <c r="D113" s="44"/>
      <c r="E113" s="44"/>
      <c r="F113" s="44"/>
      <c r="G113" s="44"/>
      <c r="H113" s="48"/>
      <c r="I113" s="48"/>
      <c r="J113" s="44"/>
      <c r="K113" s="44"/>
      <c r="L113" s="44"/>
    </row>
    <row r="114" spans="2:12" ht="25.15" customHeight="1" x14ac:dyDescent="0.25">
      <c r="B114" s="44"/>
      <c r="C114" s="44"/>
      <c r="D114" s="44"/>
      <c r="E114" s="44"/>
      <c r="F114" s="44"/>
      <c r="G114" s="44"/>
      <c r="H114" s="48"/>
      <c r="I114" s="48"/>
      <c r="J114" s="44"/>
      <c r="K114" s="44"/>
      <c r="L114" s="44"/>
    </row>
    <row r="115" spans="2:12" ht="25.15" customHeight="1" x14ac:dyDescent="0.25">
      <c r="B115" s="44"/>
      <c r="C115" s="44"/>
      <c r="D115" s="44"/>
      <c r="E115" s="44"/>
      <c r="F115" s="44"/>
      <c r="G115" s="44"/>
      <c r="H115" s="48"/>
      <c r="I115" s="48"/>
      <c r="J115" s="44"/>
      <c r="K115" s="44"/>
      <c r="L115" s="44"/>
    </row>
    <row r="116" spans="2:12" ht="25.15" customHeight="1" x14ac:dyDescent="0.25">
      <c r="B116" s="44"/>
      <c r="C116" s="44"/>
      <c r="D116" s="44"/>
      <c r="E116" s="44"/>
      <c r="F116" s="44"/>
      <c r="G116" s="44"/>
      <c r="H116" s="48"/>
      <c r="I116" s="48"/>
      <c r="J116" s="44"/>
      <c r="K116" s="44"/>
      <c r="L116" s="44"/>
    </row>
    <row r="117" spans="2:12" ht="25.15" customHeight="1" x14ac:dyDescent="0.25">
      <c r="B117" s="44"/>
      <c r="C117" s="44"/>
      <c r="D117" s="44"/>
      <c r="E117" s="44"/>
      <c r="F117" s="44"/>
      <c r="G117" s="44"/>
      <c r="H117" s="48"/>
      <c r="I117" s="48"/>
      <c r="J117" s="44"/>
      <c r="K117" s="44"/>
      <c r="L117" s="44"/>
    </row>
    <row r="118" spans="2:12" ht="25.15" customHeight="1" x14ac:dyDescent="0.25">
      <c r="B118" s="44"/>
      <c r="C118" s="44"/>
      <c r="D118" s="44"/>
      <c r="E118" s="44"/>
      <c r="F118" s="44"/>
      <c r="G118" s="44"/>
      <c r="H118" s="48"/>
      <c r="I118" s="48"/>
      <c r="J118" s="44"/>
      <c r="K118" s="44"/>
      <c r="L118" s="44"/>
    </row>
    <row r="119" spans="2:12" ht="25.15" customHeight="1" x14ac:dyDescent="0.25">
      <c r="B119" s="44"/>
      <c r="C119" s="44"/>
      <c r="D119" s="44"/>
      <c r="E119" s="44"/>
      <c r="F119" s="44"/>
      <c r="G119" s="44"/>
      <c r="H119" s="48"/>
      <c r="I119" s="48"/>
      <c r="J119" s="44"/>
      <c r="K119" s="44"/>
      <c r="L119" s="44"/>
    </row>
    <row r="120" spans="2:12" ht="25.15" customHeight="1" x14ac:dyDescent="0.25">
      <c r="B120" s="44"/>
      <c r="C120" s="44"/>
      <c r="D120" s="44"/>
      <c r="E120" s="44"/>
      <c r="F120" s="44"/>
      <c r="G120" s="44"/>
      <c r="H120" s="48"/>
      <c r="I120" s="48"/>
      <c r="J120" s="44"/>
      <c r="K120" s="44"/>
      <c r="L120" s="44"/>
    </row>
    <row r="121" spans="2:12" ht="25.15" customHeight="1" x14ac:dyDescent="0.25">
      <c r="B121" s="44"/>
      <c r="C121" s="44"/>
      <c r="D121" s="44"/>
      <c r="E121" s="44"/>
      <c r="F121" s="44"/>
      <c r="G121" s="44"/>
      <c r="H121" s="48"/>
      <c r="I121" s="48"/>
      <c r="J121" s="44"/>
      <c r="K121" s="44"/>
      <c r="L121" s="44"/>
    </row>
    <row r="122" spans="2:12" ht="25.15" customHeight="1" x14ac:dyDescent="0.25">
      <c r="B122" s="44"/>
      <c r="C122" s="44"/>
      <c r="D122" s="44"/>
      <c r="E122" s="44"/>
      <c r="F122" s="44"/>
      <c r="G122" s="44"/>
      <c r="H122" s="48"/>
      <c r="I122" s="48"/>
      <c r="J122" s="44"/>
      <c r="K122" s="44"/>
      <c r="L122" s="44"/>
    </row>
    <row r="123" spans="2:12" ht="25.15" customHeight="1" x14ac:dyDescent="0.25">
      <c r="B123" s="44"/>
      <c r="C123" s="44"/>
      <c r="D123" s="44"/>
      <c r="E123" s="44"/>
      <c r="F123" s="44"/>
      <c r="G123" s="44"/>
      <c r="H123" s="48"/>
      <c r="I123" s="48"/>
      <c r="J123" s="44"/>
      <c r="K123" s="44"/>
      <c r="L123" s="44"/>
    </row>
    <row r="124" spans="2:12" ht="25.15" customHeight="1" x14ac:dyDescent="0.25">
      <c r="B124" s="44"/>
      <c r="C124" s="44"/>
      <c r="D124" s="44"/>
      <c r="E124" s="44"/>
      <c r="F124" s="44"/>
      <c r="G124" s="44"/>
      <c r="H124" s="48"/>
      <c r="I124" s="48"/>
      <c r="J124" s="44"/>
      <c r="K124" s="44"/>
      <c r="L124" s="44"/>
    </row>
    <row r="125" spans="2:12" ht="25.15" customHeight="1" x14ac:dyDescent="0.25">
      <c r="B125" s="44"/>
      <c r="C125" s="44"/>
      <c r="D125" s="44"/>
      <c r="E125" s="44"/>
      <c r="F125" s="44"/>
      <c r="G125" s="44"/>
      <c r="H125" s="48"/>
      <c r="I125" s="48"/>
      <c r="J125" s="44"/>
      <c r="K125" s="44"/>
      <c r="L125" s="44"/>
    </row>
    <row r="126" spans="2:12" ht="25.15" customHeight="1" x14ac:dyDescent="0.25">
      <c r="B126" s="44"/>
      <c r="C126" s="44"/>
      <c r="D126" s="44"/>
      <c r="E126" s="44"/>
      <c r="F126" s="44"/>
      <c r="G126" s="44"/>
      <c r="H126" s="48"/>
      <c r="I126" s="48"/>
      <c r="J126" s="44"/>
      <c r="K126" s="44"/>
      <c r="L126" s="44"/>
    </row>
    <row r="127" spans="2:12" ht="25.15" customHeight="1" x14ac:dyDescent="0.25">
      <c r="B127" s="44"/>
      <c r="C127" s="44"/>
      <c r="D127" s="44"/>
      <c r="E127" s="44"/>
      <c r="F127" s="44"/>
      <c r="G127" s="44"/>
      <c r="H127" s="48"/>
      <c r="I127" s="48"/>
      <c r="J127" s="44"/>
      <c r="K127" s="44"/>
      <c r="L127" s="44"/>
    </row>
    <row r="128" spans="2:12" ht="25.15" customHeight="1" x14ac:dyDescent="0.25">
      <c r="B128" s="44"/>
      <c r="C128" s="44"/>
      <c r="D128" s="44"/>
      <c r="E128" s="44"/>
      <c r="F128" s="44"/>
      <c r="G128" s="44"/>
      <c r="H128" s="48"/>
      <c r="I128" s="48"/>
      <c r="J128" s="44"/>
      <c r="K128" s="44"/>
      <c r="L128" s="44"/>
    </row>
    <row r="129" spans="2:12" ht="25.15" customHeight="1" x14ac:dyDescent="0.25">
      <c r="B129" s="44"/>
      <c r="C129" s="44"/>
      <c r="D129" s="44"/>
      <c r="E129" s="44"/>
      <c r="F129" s="44"/>
      <c r="G129" s="44"/>
      <c r="H129" s="48"/>
      <c r="I129" s="48"/>
      <c r="J129" s="44"/>
      <c r="K129" s="44"/>
      <c r="L129" s="44"/>
    </row>
    <row r="130" spans="2:12" ht="25.15" customHeight="1" x14ac:dyDescent="0.25">
      <c r="B130" s="44"/>
      <c r="C130" s="44"/>
      <c r="D130" s="44"/>
      <c r="E130" s="44"/>
      <c r="F130" s="44"/>
      <c r="G130" s="44"/>
      <c r="H130" s="48"/>
      <c r="I130" s="48"/>
      <c r="J130" s="44"/>
      <c r="K130" s="44"/>
      <c r="L130" s="44"/>
    </row>
    <row r="131" spans="2:12" ht="25.15" customHeight="1" x14ac:dyDescent="0.25">
      <c r="B131" s="44"/>
      <c r="C131" s="44"/>
      <c r="D131" s="44"/>
      <c r="E131" s="44"/>
      <c r="F131" s="44"/>
      <c r="G131" s="44"/>
      <c r="H131" s="48"/>
      <c r="I131" s="48"/>
      <c r="J131" s="44"/>
      <c r="K131" s="44"/>
      <c r="L131" s="44"/>
    </row>
    <row r="132" spans="2:12" ht="25.15" customHeight="1" x14ac:dyDescent="0.25">
      <c r="B132" s="44"/>
      <c r="C132" s="44"/>
      <c r="D132" s="44"/>
      <c r="E132" s="44"/>
      <c r="F132" s="44"/>
      <c r="G132" s="44"/>
      <c r="H132" s="48"/>
      <c r="I132" s="48"/>
      <c r="J132" s="44"/>
      <c r="K132" s="44"/>
      <c r="L132" s="44"/>
    </row>
    <row r="133" spans="2:12" ht="25.15" customHeight="1" x14ac:dyDescent="0.25">
      <c r="B133" s="44"/>
      <c r="C133" s="44"/>
      <c r="D133" s="44"/>
      <c r="E133" s="44"/>
      <c r="F133" s="44"/>
      <c r="G133" s="44"/>
      <c r="H133" s="48"/>
      <c r="I133" s="48"/>
      <c r="J133" s="44"/>
      <c r="K133" s="44"/>
      <c r="L133" s="44"/>
    </row>
    <row r="134" spans="2:12" ht="25.15" customHeight="1" x14ac:dyDescent="0.25">
      <c r="B134" s="44"/>
      <c r="C134" s="44"/>
      <c r="D134" s="44"/>
      <c r="E134" s="44"/>
      <c r="F134" s="44"/>
      <c r="G134" s="44"/>
      <c r="H134" s="48"/>
      <c r="I134" s="48"/>
      <c r="J134" s="44"/>
      <c r="K134" s="44"/>
      <c r="L134" s="44"/>
    </row>
    <row r="135" spans="2:12" ht="25.15" customHeight="1" x14ac:dyDescent="0.25">
      <c r="B135" s="44"/>
      <c r="C135" s="44"/>
      <c r="D135" s="44"/>
      <c r="E135" s="44"/>
      <c r="F135" s="44"/>
      <c r="G135" s="44"/>
      <c r="H135" s="48"/>
      <c r="I135" s="48"/>
      <c r="J135" s="44"/>
      <c r="K135" s="44"/>
      <c r="L135" s="44"/>
    </row>
    <row r="136" spans="2:12" ht="25.15" customHeight="1" x14ac:dyDescent="0.25">
      <c r="B136" s="44"/>
      <c r="C136" s="44"/>
      <c r="D136" s="44"/>
      <c r="E136" s="44"/>
      <c r="F136" s="44"/>
      <c r="G136" s="44"/>
      <c r="H136" s="48"/>
      <c r="I136" s="48"/>
      <c r="J136" s="44"/>
      <c r="K136" s="44"/>
      <c r="L136" s="44"/>
    </row>
    <row r="137" spans="2:12" ht="25.15" customHeight="1" x14ac:dyDescent="0.25">
      <c r="B137" s="44"/>
      <c r="C137" s="44"/>
      <c r="D137" s="44"/>
      <c r="E137" s="44"/>
      <c r="F137" s="44"/>
      <c r="G137" s="44"/>
      <c r="H137" s="48"/>
      <c r="I137" s="48"/>
      <c r="J137" s="44"/>
      <c r="K137" s="44"/>
      <c r="L137" s="44"/>
    </row>
    <row r="138" spans="2:12" ht="25.15" customHeight="1" x14ac:dyDescent="0.25">
      <c r="B138" s="44"/>
      <c r="C138" s="44"/>
      <c r="D138" s="44"/>
      <c r="E138" s="44"/>
      <c r="F138" s="44"/>
      <c r="G138" s="44"/>
      <c r="H138" s="48"/>
      <c r="I138" s="48"/>
      <c r="J138" s="44"/>
      <c r="K138" s="44"/>
      <c r="L138" s="44"/>
    </row>
    <row r="139" spans="2:12" ht="25.15" customHeight="1" x14ac:dyDescent="0.25">
      <c r="B139" s="44"/>
      <c r="C139" s="44"/>
      <c r="D139" s="44"/>
      <c r="E139" s="44"/>
      <c r="F139" s="44"/>
      <c r="G139" s="44"/>
      <c r="H139" s="48"/>
      <c r="I139" s="48"/>
      <c r="J139" s="44"/>
      <c r="K139" s="44"/>
      <c r="L139" s="44"/>
    </row>
    <row r="140" spans="2:12" ht="25.15" customHeight="1" x14ac:dyDescent="0.25">
      <c r="B140" s="44"/>
      <c r="C140" s="44"/>
      <c r="D140" s="44"/>
      <c r="E140" s="44"/>
      <c r="F140" s="44"/>
      <c r="G140" s="44"/>
      <c r="H140" s="48"/>
      <c r="I140" s="48"/>
      <c r="J140" s="44"/>
      <c r="K140" s="44"/>
      <c r="L140" s="44"/>
    </row>
    <row r="141" spans="2:12" ht="25.15" customHeight="1" x14ac:dyDescent="0.25">
      <c r="B141" s="44"/>
      <c r="C141" s="44"/>
      <c r="D141" s="44"/>
      <c r="E141" s="44"/>
      <c r="F141" s="44"/>
      <c r="G141" s="44"/>
      <c r="H141" s="48"/>
      <c r="I141" s="48"/>
      <c r="J141" s="44"/>
      <c r="K141" s="44"/>
      <c r="L141" s="44"/>
    </row>
    <row r="142" spans="2:12" ht="25.15" customHeight="1" x14ac:dyDescent="0.25">
      <c r="B142" s="44"/>
      <c r="C142" s="44"/>
      <c r="D142" s="44"/>
      <c r="E142" s="44"/>
      <c r="F142" s="44"/>
      <c r="G142" s="44"/>
      <c r="H142" s="48"/>
      <c r="I142" s="48"/>
      <c r="J142" s="44"/>
      <c r="K142" s="44"/>
      <c r="L142" s="44"/>
    </row>
    <row r="143" spans="2:12" ht="25.15" customHeight="1" x14ac:dyDescent="0.25">
      <c r="B143" s="44"/>
      <c r="C143" s="44"/>
      <c r="D143" s="44"/>
      <c r="E143" s="44"/>
      <c r="F143" s="44"/>
      <c r="G143" s="44"/>
      <c r="H143" s="48"/>
      <c r="I143" s="48"/>
      <c r="J143" s="44"/>
      <c r="K143" s="44"/>
      <c r="L143" s="44"/>
    </row>
    <row r="144" spans="2:12" ht="25.15" customHeight="1" x14ac:dyDescent="0.25">
      <c r="B144" s="44"/>
      <c r="C144" s="44"/>
      <c r="D144" s="44"/>
      <c r="E144" s="44"/>
      <c r="F144" s="44"/>
      <c r="G144" s="44"/>
      <c r="H144" s="48"/>
      <c r="I144" s="48"/>
      <c r="J144" s="44"/>
      <c r="K144" s="44"/>
      <c r="L144" s="44"/>
    </row>
    <row r="145" spans="2:12" ht="25.15" customHeight="1" x14ac:dyDescent="0.25">
      <c r="B145" s="44"/>
      <c r="C145" s="44"/>
      <c r="D145" s="44"/>
      <c r="E145" s="44"/>
      <c r="F145" s="44"/>
      <c r="G145" s="44"/>
      <c r="H145" s="48"/>
      <c r="I145" s="48"/>
      <c r="J145" s="44"/>
      <c r="K145" s="44"/>
      <c r="L145" s="44"/>
    </row>
    <row r="146" spans="2:12" ht="25.15" customHeight="1" x14ac:dyDescent="0.25">
      <c r="B146" s="44"/>
      <c r="C146" s="44"/>
      <c r="D146" s="44"/>
      <c r="E146" s="44"/>
      <c r="F146" s="44"/>
      <c r="G146" s="44"/>
      <c r="H146" s="48"/>
      <c r="I146" s="48"/>
      <c r="J146" s="44"/>
      <c r="K146" s="44"/>
      <c r="L146" s="44"/>
    </row>
    <row r="147" spans="2:12" ht="25.15" customHeight="1" x14ac:dyDescent="0.25">
      <c r="B147" s="44"/>
      <c r="C147" s="44"/>
      <c r="D147" s="44"/>
      <c r="E147" s="44"/>
      <c r="F147" s="44"/>
      <c r="G147" s="44"/>
      <c r="H147" s="48"/>
      <c r="I147" s="48"/>
      <c r="J147" s="44"/>
      <c r="K147" s="44"/>
      <c r="L147" s="44"/>
    </row>
    <row r="148" spans="2:12" ht="25.15" customHeight="1" x14ac:dyDescent="0.25">
      <c r="B148" s="44"/>
      <c r="C148" s="44"/>
      <c r="D148" s="44"/>
      <c r="E148" s="44"/>
      <c r="F148" s="44"/>
      <c r="G148" s="44"/>
      <c r="H148" s="48"/>
      <c r="I148" s="48"/>
      <c r="J148" s="44"/>
      <c r="K148" s="44"/>
      <c r="L148" s="44"/>
    </row>
    <row r="149" spans="2:12" ht="25.15" customHeight="1" x14ac:dyDescent="0.25">
      <c r="B149" s="44"/>
      <c r="C149" s="44"/>
      <c r="D149" s="44"/>
      <c r="E149" s="44"/>
      <c r="F149" s="44"/>
      <c r="G149" s="44"/>
      <c r="H149" s="48"/>
      <c r="I149" s="48"/>
      <c r="J149" s="44"/>
      <c r="K149" s="44"/>
      <c r="L149" s="44"/>
    </row>
    <row r="150" spans="2:12" ht="25.15" customHeight="1" x14ac:dyDescent="0.25">
      <c r="B150" s="44"/>
      <c r="C150" s="44"/>
      <c r="D150" s="44"/>
      <c r="E150" s="44"/>
      <c r="F150" s="44"/>
      <c r="G150" s="44"/>
      <c r="H150" s="48"/>
      <c r="I150" s="48"/>
      <c r="J150" s="44"/>
      <c r="K150" s="44"/>
      <c r="L150" s="44"/>
    </row>
    <row r="151" spans="2:12" ht="25.15" customHeight="1" x14ac:dyDescent="0.25">
      <c r="B151" s="44"/>
      <c r="C151" s="44"/>
      <c r="D151" s="44"/>
      <c r="E151" s="44"/>
      <c r="F151" s="44"/>
      <c r="G151" s="44"/>
      <c r="H151" s="48"/>
      <c r="I151" s="48"/>
      <c r="J151" s="44"/>
      <c r="K151" s="44"/>
      <c r="L151" s="44"/>
    </row>
    <row r="152" spans="2:12" ht="25.15" customHeight="1" x14ac:dyDescent="0.25">
      <c r="B152" s="44"/>
      <c r="C152" s="44"/>
      <c r="D152" s="44"/>
      <c r="E152" s="44"/>
      <c r="F152" s="44"/>
      <c r="G152" s="44"/>
      <c r="H152" s="48"/>
      <c r="I152" s="48"/>
      <c r="J152" s="44"/>
      <c r="K152" s="44"/>
      <c r="L152" s="44"/>
    </row>
    <row r="153" spans="2:12" ht="25.15" customHeight="1" x14ac:dyDescent="0.25">
      <c r="H153" s="20"/>
      <c r="I153" s="20"/>
    </row>
    <row r="154" spans="2:12" ht="25.15" customHeight="1" x14ac:dyDescent="0.25">
      <c r="H154" s="20"/>
      <c r="I154" s="20"/>
    </row>
    <row r="155" spans="2:12" ht="25.15" customHeight="1" x14ac:dyDescent="0.25">
      <c r="H155" s="20"/>
      <c r="I155" s="20"/>
    </row>
    <row r="156" spans="2:12" ht="25.15" customHeight="1" x14ac:dyDescent="0.25">
      <c r="H156" s="20"/>
      <c r="I156" s="20"/>
    </row>
    <row r="157" spans="2:12" ht="25.15" customHeight="1" x14ac:dyDescent="0.25">
      <c r="H157" s="20"/>
      <c r="I157" s="20"/>
    </row>
    <row r="158" spans="2:12" ht="25.15" customHeight="1" x14ac:dyDescent="0.25">
      <c r="H158" s="20"/>
      <c r="I158" s="20"/>
    </row>
    <row r="159" spans="2:12" ht="25.15" customHeight="1" x14ac:dyDescent="0.25">
      <c r="H159" s="20"/>
      <c r="I159" s="20"/>
    </row>
    <row r="160" spans="2:12" ht="25.15" customHeight="1" x14ac:dyDescent="0.25">
      <c r="H160" s="20"/>
      <c r="I160" s="20"/>
    </row>
    <row r="161" spans="8:9" ht="25.15" customHeight="1" x14ac:dyDescent="0.25">
      <c r="H161" s="20"/>
      <c r="I161" s="20"/>
    </row>
    <row r="162" spans="8:9" ht="25.15" customHeight="1" x14ac:dyDescent="0.25">
      <c r="H162" s="20"/>
      <c r="I162" s="20"/>
    </row>
    <row r="163" spans="8:9" ht="25.15" customHeight="1" x14ac:dyDescent="0.25">
      <c r="H163" s="20"/>
      <c r="I163" s="20"/>
    </row>
    <row r="164" spans="8:9" ht="25.15" customHeight="1" x14ac:dyDescent="0.25">
      <c r="H164" s="20"/>
      <c r="I164" s="20"/>
    </row>
    <row r="165" spans="8:9" ht="25.15" customHeight="1" x14ac:dyDescent="0.25">
      <c r="H165" s="20"/>
      <c r="I165" s="20"/>
    </row>
    <row r="166" spans="8:9" ht="25.15" customHeight="1" x14ac:dyDescent="0.25">
      <c r="H166" s="20"/>
      <c r="I166" s="20"/>
    </row>
    <row r="167" spans="8:9" ht="25.15" customHeight="1" x14ac:dyDescent="0.25">
      <c r="H167" s="20"/>
      <c r="I167" s="20"/>
    </row>
    <row r="168" spans="8:9" ht="25.15" customHeight="1" x14ac:dyDescent="0.25">
      <c r="H168" s="20"/>
      <c r="I168" s="20"/>
    </row>
    <row r="169" spans="8:9" ht="25.15" customHeight="1" x14ac:dyDescent="0.25">
      <c r="H169" s="20"/>
      <c r="I169" s="20"/>
    </row>
    <row r="170" spans="8:9" ht="25.15" customHeight="1" x14ac:dyDescent="0.25">
      <c r="H170" s="20"/>
      <c r="I170" s="20"/>
    </row>
    <row r="171" spans="8:9" ht="25.15" customHeight="1" x14ac:dyDescent="0.25">
      <c r="H171" s="20"/>
      <c r="I171" s="20"/>
    </row>
    <row r="172" spans="8:9" ht="25.15" customHeight="1" x14ac:dyDescent="0.25">
      <c r="H172" s="20"/>
      <c r="I172" s="20"/>
    </row>
    <row r="173" spans="8:9" ht="25.15" customHeight="1" x14ac:dyDescent="0.25">
      <c r="H173" s="20"/>
      <c r="I173" s="20"/>
    </row>
    <row r="174" spans="8:9" ht="25.15" customHeight="1" x14ac:dyDescent="0.25">
      <c r="H174" s="20"/>
      <c r="I174" s="20"/>
    </row>
    <row r="175" spans="8:9" ht="25.15" customHeight="1" x14ac:dyDescent="0.25">
      <c r="H175" s="20"/>
      <c r="I175" s="20"/>
    </row>
    <row r="176" spans="8:9" ht="25.15" customHeight="1" x14ac:dyDescent="0.25">
      <c r="H176" s="20"/>
      <c r="I176" s="20"/>
    </row>
    <row r="177" spans="8:9" ht="25.15" customHeight="1" x14ac:dyDescent="0.25">
      <c r="H177" s="20"/>
      <c r="I177" s="20"/>
    </row>
    <row r="178" spans="8:9" ht="25.15" customHeight="1" x14ac:dyDescent="0.25">
      <c r="H178" s="20"/>
      <c r="I178" s="20"/>
    </row>
    <row r="179" spans="8:9" ht="25.15" customHeight="1" x14ac:dyDescent="0.25">
      <c r="H179" s="20"/>
      <c r="I179" s="20"/>
    </row>
    <row r="180" spans="8:9" ht="25.15" customHeight="1" x14ac:dyDescent="0.25">
      <c r="H180" s="20"/>
      <c r="I180" s="20"/>
    </row>
    <row r="181" spans="8:9" ht="25.15" customHeight="1" x14ac:dyDescent="0.25">
      <c r="H181" s="20"/>
      <c r="I181" s="20"/>
    </row>
    <row r="182" spans="8:9" ht="25.15" customHeight="1" x14ac:dyDescent="0.25">
      <c r="H182" s="20"/>
      <c r="I182" s="20"/>
    </row>
    <row r="183" spans="8:9" ht="25.15" customHeight="1" x14ac:dyDescent="0.25">
      <c r="H183" s="20"/>
      <c r="I183" s="20"/>
    </row>
    <row r="184" spans="8:9" ht="25.15" customHeight="1" x14ac:dyDescent="0.25">
      <c r="H184" s="20"/>
      <c r="I184" s="20"/>
    </row>
    <row r="185" spans="8:9" ht="25.15" customHeight="1" x14ac:dyDescent="0.25">
      <c r="H185" s="20"/>
      <c r="I185" s="20"/>
    </row>
    <row r="186" spans="8:9" ht="25.15" customHeight="1" x14ac:dyDescent="0.25">
      <c r="H186" s="20"/>
      <c r="I186" s="20"/>
    </row>
    <row r="187" spans="8:9" ht="25.15" customHeight="1" x14ac:dyDescent="0.25">
      <c r="H187" s="20"/>
      <c r="I187" s="20"/>
    </row>
    <row r="188" spans="8:9" ht="25.15" customHeight="1" x14ac:dyDescent="0.25">
      <c r="H188" s="20"/>
      <c r="I188" s="20"/>
    </row>
    <row r="189" spans="8:9" ht="25.15" customHeight="1" x14ac:dyDescent="0.25">
      <c r="H189" s="20"/>
      <c r="I189" s="20"/>
    </row>
    <row r="190" spans="8:9" ht="25.15" customHeight="1" x14ac:dyDescent="0.25">
      <c r="H190" s="20"/>
      <c r="I190" s="20"/>
    </row>
    <row r="191" spans="8:9" ht="25.15" customHeight="1" x14ac:dyDescent="0.25">
      <c r="H191" s="20"/>
      <c r="I191" s="20"/>
    </row>
    <row r="192" spans="8:9" ht="25.15" customHeight="1" x14ac:dyDescent="0.25">
      <c r="H192" s="20"/>
      <c r="I192" s="20"/>
    </row>
    <row r="193" spans="8:9" ht="25.15" customHeight="1" x14ac:dyDescent="0.25">
      <c r="H193" s="20"/>
      <c r="I193" s="20"/>
    </row>
    <row r="194" spans="8:9" x14ac:dyDescent="0.25">
      <c r="H194" s="20"/>
      <c r="I194" s="20"/>
    </row>
    <row r="195" spans="8:9" x14ac:dyDescent="0.25">
      <c r="H195" s="20"/>
      <c r="I195" s="20"/>
    </row>
    <row r="196" spans="8:9" x14ac:dyDescent="0.25">
      <c r="H196" s="20"/>
      <c r="I196" s="20"/>
    </row>
    <row r="197" spans="8:9" x14ac:dyDescent="0.25">
      <c r="H197" s="20"/>
      <c r="I197" s="20"/>
    </row>
    <row r="198" spans="8:9" x14ac:dyDescent="0.25">
      <c r="H198" s="20"/>
      <c r="I198" s="20"/>
    </row>
    <row r="199" spans="8:9" x14ac:dyDescent="0.25">
      <c r="H199" s="20"/>
      <c r="I199" s="20"/>
    </row>
    <row r="200" spans="8:9" x14ac:dyDescent="0.25">
      <c r="H200" s="20"/>
      <c r="I200" s="20"/>
    </row>
    <row r="201" spans="8:9" x14ac:dyDescent="0.25">
      <c r="H201" s="20"/>
      <c r="I201" s="20"/>
    </row>
    <row r="202" spans="8:9" x14ac:dyDescent="0.25">
      <c r="H202" s="20"/>
      <c r="I202" s="20"/>
    </row>
    <row r="203" spans="8:9" x14ac:dyDescent="0.25">
      <c r="H203" s="20"/>
      <c r="I203" s="20"/>
    </row>
    <row r="204" spans="8:9" x14ac:dyDescent="0.25">
      <c r="H204" s="20"/>
      <c r="I204" s="20"/>
    </row>
    <row r="205" spans="8:9" x14ac:dyDescent="0.25">
      <c r="H205" s="20"/>
      <c r="I205" s="20"/>
    </row>
    <row r="206" spans="8:9" x14ac:dyDescent="0.25">
      <c r="H206" s="20"/>
      <c r="I206" s="20"/>
    </row>
    <row r="207" spans="8:9" x14ac:dyDescent="0.25">
      <c r="H207" s="20"/>
      <c r="I207" s="20"/>
    </row>
    <row r="208" spans="8:9" x14ac:dyDescent="0.25">
      <c r="H208" s="20"/>
      <c r="I208" s="20"/>
    </row>
    <row r="209" spans="8:9" x14ac:dyDescent="0.25">
      <c r="H209" s="20"/>
      <c r="I209" s="20"/>
    </row>
    <row r="210" spans="8:9" x14ac:dyDescent="0.25">
      <c r="H210" s="20"/>
      <c r="I210" s="20"/>
    </row>
    <row r="211" spans="8:9" x14ac:dyDescent="0.25">
      <c r="H211" s="20"/>
      <c r="I211" s="20"/>
    </row>
    <row r="212" spans="8:9" x14ac:dyDescent="0.25">
      <c r="H212" s="20"/>
      <c r="I212" s="20"/>
    </row>
    <row r="213" spans="8:9" x14ac:dyDescent="0.25">
      <c r="H213" s="20"/>
      <c r="I213" s="20"/>
    </row>
    <row r="214" spans="8:9" x14ac:dyDescent="0.25">
      <c r="H214" s="20"/>
      <c r="I214" s="20"/>
    </row>
    <row r="215" spans="8:9" x14ac:dyDescent="0.25">
      <c r="H215" s="20"/>
      <c r="I215" s="20"/>
    </row>
    <row r="216" spans="8:9" x14ac:dyDescent="0.25">
      <c r="H216" s="20"/>
      <c r="I216" s="20"/>
    </row>
    <row r="217" spans="8:9" x14ac:dyDescent="0.25">
      <c r="H217" s="20"/>
      <c r="I217" s="20"/>
    </row>
    <row r="218" spans="8:9" x14ac:dyDescent="0.25">
      <c r="H218" s="20"/>
      <c r="I218" s="20"/>
    </row>
    <row r="219" spans="8:9" x14ac:dyDescent="0.25">
      <c r="H219" s="20"/>
      <c r="I219" s="20"/>
    </row>
    <row r="220" spans="8:9" x14ac:dyDescent="0.25">
      <c r="H220" s="20"/>
      <c r="I220" s="20"/>
    </row>
    <row r="221" spans="8:9" x14ac:dyDescent="0.25">
      <c r="H221" s="20"/>
      <c r="I221" s="20"/>
    </row>
    <row r="222" spans="8:9" x14ac:dyDescent="0.25">
      <c r="H222" s="20"/>
      <c r="I222" s="20"/>
    </row>
    <row r="223" spans="8:9" x14ac:dyDescent="0.25">
      <c r="H223" s="20"/>
      <c r="I223" s="20"/>
    </row>
    <row r="224" spans="8:9" x14ac:dyDescent="0.25">
      <c r="H224" s="20"/>
      <c r="I224" s="20"/>
    </row>
    <row r="225" spans="8:9" x14ac:dyDescent="0.25">
      <c r="H225" s="20"/>
      <c r="I225" s="20"/>
    </row>
    <row r="226" spans="8:9" x14ac:dyDescent="0.25">
      <c r="H226" s="20"/>
      <c r="I226" s="20"/>
    </row>
    <row r="227" spans="8:9" x14ac:dyDescent="0.25">
      <c r="H227" s="20"/>
      <c r="I227" s="20"/>
    </row>
    <row r="228" spans="8:9" x14ac:dyDescent="0.25">
      <c r="H228" s="20"/>
      <c r="I228" s="20"/>
    </row>
    <row r="229" spans="8:9" x14ac:dyDescent="0.25">
      <c r="H229" s="20"/>
      <c r="I229" s="20"/>
    </row>
    <row r="230" spans="8:9" x14ac:dyDescent="0.25">
      <c r="H230" s="20"/>
      <c r="I230" s="20"/>
    </row>
    <row r="231" spans="8:9" x14ac:dyDescent="0.25">
      <c r="H231" s="20"/>
      <c r="I231" s="20"/>
    </row>
    <row r="232" spans="8:9" x14ac:dyDescent="0.25">
      <c r="H232" s="20"/>
      <c r="I232" s="20"/>
    </row>
    <row r="233" spans="8:9" x14ac:dyDescent="0.25">
      <c r="H233" s="20"/>
      <c r="I233" s="20"/>
    </row>
    <row r="234" spans="8:9" x14ac:dyDescent="0.25">
      <c r="H234" s="20"/>
      <c r="I234" s="20"/>
    </row>
    <row r="235" spans="8:9" x14ac:dyDescent="0.25">
      <c r="H235" s="20"/>
      <c r="I235" s="20"/>
    </row>
    <row r="236" spans="8:9" x14ac:dyDescent="0.25">
      <c r="H236" s="20"/>
      <c r="I236" s="20"/>
    </row>
    <row r="237" spans="8:9" x14ac:dyDescent="0.25">
      <c r="H237" s="20"/>
      <c r="I237" s="20"/>
    </row>
    <row r="238" spans="8:9" x14ac:dyDescent="0.25">
      <c r="H238" s="20"/>
      <c r="I238" s="20"/>
    </row>
    <row r="239" spans="8:9" x14ac:dyDescent="0.25">
      <c r="H239" s="20"/>
      <c r="I239" s="20"/>
    </row>
    <row r="240" spans="8:9" x14ac:dyDescent="0.25">
      <c r="H240" s="20"/>
      <c r="I240" s="20"/>
    </row>
    <row r="241" spans="8:9" x14ac:dyDescent="0.25">
      <c r="H241" s="20"/>
      <c r="I241" s="20"/>
    </row>
    <row r="242" spans="8:9" x14ac:dyDescent="0.25">
      <c r="H242" s="20"/>
      <c r="I242" s="20"/>
    </row>
    <row r="243" spans="8:9" x14ac:dyDescent="0.25">
      <c r="H243" s="20"/>
      <c r="I243" s="20"/>
    </row>
    <row r="244" spans="8:9" x14ac:dyDescent="0.25">
      <c r="H244" s="20"/>
      <c r="I244" s="20"/>
    </row>
    <row r="245" spans="8:9" x14ac:dyDescent="0.25">
      <c r="H245" s="20"/>
      <c r="I245" s="20"/>
    </row>
    <row r="246" spans="8:9" x14ac:dyDescent="0.25">
      <c r="H246" s="20"/>
      <c r="I246" s="20"/>
    </row>
    <row r="247" spans="8:9" x14ac:dyDescent="0.25">
      <c r="H247" s="20"/>
      <c r="I247" s="20"/>
    </row>
    <row r="248" spans="8:9" x14ac:dyDescent="0.25">
      <c r="H248" s="20"/>
      <c r="I248" s="20"/>
    </row>
    <row r="249" spans="8:9" x14ac:dyDescent="0.25">
      <c r="H249" s="20"/>
      <c r="I249" s="20"/>
    </row>
    <row r="250" spans="8:9" x14ac:dyDescent="0.25">
      <c r="H250" s="20"/>
      <c r="I250" s="20"/>
    </row>
    <row r="251" spans="8:9" x14ac:dyDescent="0.25">
      <c r="H251" s="20"/>
      <c r="I251" s="20"/>
    </row>
    <row r="252" spans="8:9" x14ac:dyDescent="0.25">
      <c r="H252" s="20"/>
      <c r="I252" s="20"/>
    </row>
    <row r="253" spans="8:9" x14ac:dyDescent="0.25">
      <c r="H253" s="20"/>
      <c r="I253" s="20"/>
    </row>
  </sheetData>
  <sheetProtection password="ABEF" sheet="1" objects="1" scenarios="1" selectLockedCells="1" selectUnlockedCells="1"/>
  <customSheetViews>
    <customSheetView guid="{C56548B1-AD9F-45D5-A6C9-CFD9EB8CFADF}" scale="85" showGridLines="0" showRowCol="0">
      <selection activeCell="M16" sqref="M16"/>
      <pageMargins left="0.7" right="0.7" top="0.75" bottom="0.75" header="0.3" footer="0.3"/>
    </customSheetView>
  </customSheetViews>
  <mergeCells count="5">
    <mergeCell ref="C14:F14"/>
    <mergeCell ref="C15:F15"/>
    <mergeCell ref="C16:F16"/>
    <mergeCell ref="C17:F17"/>
    <mergeCell ref="C18:F1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10</vt:i4>
      </vt:variant>
    </vt:vector>
  </HeadingPairs>
  <TitlesOfParts>
    <vt:vector size="14" baseType="lpstr">
      <vt:lpstr>ISTRUZIONI</vt:lpstr>
      <vt:lpstr>CALCOLO DEL VENTO</vt:lpstr>
      <vt:lpstr>dati nascosti</vt:lpstr>
      <vt:lpstr>DATI NTC</vt:lpstr>
      <vt:lpstr>catesp</vt:lpstr>
      <vt:lpstr>for</vt:lpstr>
      <vt:lpstr>formi</vt:lpstr>
      <vt:lpstr>incl</vt:lpstr>
      <vt:lpstr>regioni</vt:lpstr>
      <vt:lpstr>rugosità</vt:lpstr>
      <vt:lpstr>sta</vt:lpstr>
      <vt:lpstr>top</vt:lpstr>
      <vt:lpstr>topo</vt:lpstr>
      <vt:lpstr>TR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 Cicchini</dc:creator>
  <cp:lastModifiedBy>Davide Cicchini</cp:lastModifiedBy>
  <cp:lastPrinted>2016-02-06T18:23:40Z</cp:lastPrinted>
  <dcterms:created xsi:type="dcterms:W3CDTF">2015-03-12T18:50:09Z</dcterms:created>
  <dcterms:modified xsi:type="dcterms:W3CDTF">2016-11-07T07:13:21Z</dcterms:modified>
</cp:coreProperties>
</file>