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3.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2.xml" ContentType="application/vnd.openxmlformats-officedocument.spreadsheetml.revisionLog+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COMPUTER\6.VARIE PER LA PROFESSIONE\PROGRAMMI UTILI\COSTRUZIONI IN MURATURA\"/>
    </mc:Choice>
  </mc:AlternateContent>
  <workbookProtection workbookAlgorithmName="SHA-512" workbookHashValue="uhXZll+NO/q8dXFa7IMmW0eZ2a8rdbuwHCQVIlrD6SfMHVGkCtg+cSt0G/oJuOT/lFYIpbxFScdf4FOfcZZo3g==" workbookSaltValue="lP4pC6no6iWnW9ENqKdAew==" workbookSpinCount="100000" revisionsAlgorithmName="SHA-512" revisionsHashValue="mCRar3NiQi6p9mFFLBgcE0TijEPMoZJtHJ3MA09l+mLPb7kajsnsJqLGcLuEz1MkJDRR6pC3SdlWnyvi+5Mu/g==" revisionsSaltValue="sj0RINhs9Z7uVhxLi4i3sQ==" revisionsSpinCount="100000" lockStructure="1" lockRevision="1"/>
  <bookViews>
    <workbookView xWindow="0" yWindow="0" windowWidth="11970" windowHeight="6825" tabRatio="801" firstSheet="1" activeTab="1"/>
  </bookViews>
  <sheets>
    <sheet name="FOGLIO DEPOSITO-muraturaC7-19" sheetId="1" state="hidden" r:id="rId1"/>
    <sheet name="ISTRUZIONI" sheetId="2" r:id="rId2"/>
    <sheet name="DATI" sheetId="3" r:id="rId3"/>
    <sheet name="Foglio1" sheetId="4" state="hidden" r:id="rId4"/>
    <sheet name="Caratteristiche Materiale c617" sheetId="5" state="hidden" r:id="rId5"/>
    <sheet name="Caratteristiche Materiale C7-19" sheetId="6" r:id="rId6"/>
    <sheet name="FOGLIO DEPOSITO" sheetId="7" state="hidden" r:id="rId7"/>
    <sheet name="RESISTENZA MURATURA" sheetId="8" state="hidden" r:id="rId8"/>
    <sheet name="VERIFICA ARCHITRAVE" sheetId="9" r:id="rId9"/>
    <sheet name="LEGAME COSTITUTIVO" sheetId="10" r:id="rId10"/>
    <sheet name="NTC18 &amp; CIRCOLARE2019" sheetId="11" r:id="rId11"/>
    <sheet name="NTC &amp; CIRCOLARE2009" sheetId="12" r:id="rId12"/>
  </sheets>
  <definedNames>
    <definedName name="_xlnm._FilterDatabase" localSheetId="7" hidden="1">'RESISTENZA MURATURA'!$B$1:$F$3</definedName>
    <definedName name="an">'FOGLIO DEPOSITO'!$F$35:$F$37</definedName>
    <definedName name="ana">'FOGLIO DEPOSITO'!$F$35:$F$36</definedName>
    <definedName name="anaana">'FOGLIO DEPOSITO-muraturaC7-19'!$G$29:$G$30</definedName>
    <definedName name="ann">'FOGLIO DEPOSITO-muraturaC7-19'!$G$29:$G$31</definedName>
    <definedName name="cat">'FOGLIO DEPOSITO'!$C$117:$C$128</definedName>
    <definedName name="cate">'FOGLIO DEPOSITO'!$C$117:$C$126</definedName>
    <definedName name="LC">'FOGLIO DEPOSITO'!$B$45:$B$47</definedName>
    <definedName name="lclc">'FOGLIO DEPOSITO-muraturaC7-19'!$B$39:$B$41</definedName>
    <definedName name="Mat">Foglio1!$B$98:$C$101</definedName>
    <definedName name="mate">Foglio1!$B$98:$B$101</definedName>
    <definedName name="MUR">'FOGLIO DEPOSITO-muraturaC7-19'!$B$26:$B$33</definedName>
    <definedName name="mura">'FOGLIO DEPOSITO'!$B$32:$B$42</definedName>
    <definedName name="muratur">'FOGLIO DEPOSITO-muraturaC7-19'!$B$26:$B$36</definedName>
    <definedName name="perc">'FOGLIO DEPOSITO'!$J$54:$J$56</definedName>
    <definedName name="percen">'FOGLIO DEPOSITO-muraturaC7-19'!$K$48:$K$50</definedName>
    <definedName name="PROF">Foglio1!$B$6:$B$95</definedName>
    <definedName name="sn">'FOGLIO DEPOSITO'!$F$32:$F$33</definedName>
    <definedName name="snsn">'FOGLIO DEPOSITO-muraturaC7-19'!$G$26:$G$27</definedName>
    <definedName name="Z_2499ACAE_A2C7_4F7F_900A_65021AFAF04C_.wvu.FilterData" localSheetId="7" hidden="1">'RESISTENZA MURATURA'!$B$1:$F$3</definedName>
    <definedName name="Z_4556642F_611B_4273_921A_A5552A57B1F5_.wvu.FilterData" localSheetId="7" hidden="1">'RESISTENZA MURATURA'!$B$1:$F$3</definedName>
    <definedName name="Z_4F428F85_A986_464A_BD5B_D43EDDD1A16A_.wvu.FilterData" localSheetId="7" hidden="1">'RESISTENZA MURATURA'!$B$1:$F$3</definedName>
  </definedNames>
  <calcPr calcId="162913"/>
  <customWorkbookViews>
    <customWorkbookView name="Davide - Visualizzazione personale" guid="{2499ACAE-A2C7-4F7F-900A-65021AFAF04C}" mergeInterval="0" personalView="1" maximized="1" xWindow="1358" yWindow="-8" windowWidth="1936" windowHeight="1056" tabRatio="801" activeSheetId="2"/>
    <customWorkbookView name="Utente - Visualizzazione personale" guid="{4556642F-611B-4273-921A-A5552A57B1F5}" mergeInterval="0" personalView="1" maximized="1" xWindow="-9" yWindow="-9" windowWidth="1938" windowHeight="1050" tabRatio="801" activeSheetId="2"/>
    <customWorkbookView name="Davide Cicchini - Visualizzazione personale" guid="{4F428F85-A986-464A-BD5B-D43EDDD1A16A}" mergeInterval="0" personalView="1" maximized="1" xWindow="-8" yWindow="-8" windowWidth="1382" windowHeight="744" tabRatio="801" activeSheetId="2"/>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 i="5" l="1"/>
  <c r="G6" i="5"/>
  <c r="H6" i="5"/>
  <c r="I6" i="5"/>
  <c r="J6" i="5"/>
  <c r="K6" i="5"/>
  <c r="G7" i="5"/>
  <c r="H7" i="5"/>
  <c r="I7" i="5"/>
  <c r="J7" i="5"/>
  <c r="K7" i="5"/>
  <c r="G8" i="5"/>
  <c r="H8" i="5"/>
  <c r="I8" i="5"/>
  <c r="J8" i="5"/>
  <c r="K8" i="5"/>
  <c r="G9" i="5"/>
  <c r="H9" i="5"/>
  <c r="I9" i="5"/>
  <c r="J9" i="5"/>
  <c r="K9" i="5"/>
  <c r="G10" i="5"/>
  <c r="H10" i="5"/>
  <c r="I10" i="5"/>
  <c r="J10" i="5"/>
  <c r="K10" i="5"/>
  <c r="G11" i="5"/>
  <c r="H11" i="5"/>
  <c r="I11" i="5"/>
  <c r="J11" i="5"/>
  <c r="K11" i="5"/>
  <c r="G12" i="5"/>
  <c r="H12" i="5"/>
  <c r="I12" i="5"/>
  <c r="J12" i="5"/>
  <c r="K12" i="5"/>
  <c r="G13" i="5"/>
  <c r="H13" i="5"/>
  <c r="I13" i="5"/>
  <c r="J13" i="5"/>
  <c r="K13" i="5"/>
  <c r="I14" i="5"/>
  <c r="J14" i="5"/>
  <c r="J29" i="5"/>
  <c r="J30" i="5"/>
  <c r="D44" i="9"/>
  <c r="F168" i="7"/>
  <c r="F187" i="7"/>
  <c r="F32" i="3"/>
  <c r="I31" i="6" s="1"/>
  <c r="H37" i="3"/>
  <c r="F54" i="3"/>
  <c r="G54" i="1" s="1"/>
  <c r="N96" i="1"/>
  <c r="K14" i="6" s="1"/>
  <c r="H91" i="1"/>
  <c r="I91" i="1" s="1"/>
  <c r="H11" i="6" s="1"/>
  <c r="H90" i="1"/>
  <c r="K90" i="1" s="1"/>
  <c r="J10" i="6" s="1"/>
  <c r="H89" i="1"/>
  <c r="I89" i="1" s="1"/>
  <c r="H13" i="6" s="1"/>
  <c r="O88" i="1"/>
  <c r="H88" i="1"/>
  <c r="I88" i="1" s="1"/>
  <c r="H9" i="6" s="1"/>
  <c r="H87" i="1"/>
  <c r="J87" i="1" s="1"/>
  <c r="I8" i="6" s="1"/>
  <c r="O86" i="1"/>
  <c r="H86" i="1"/>
  <c r="K86" i="1" s="1"/>
  <c r="J12" i="6" s="1"/>
  <c r="O84" i="1"/>
  <c r="O82" i="1"/>
  <c r="B82" i="1"/>
  <c r="B4" i="6" s="1"/>
  <c r="F16" i="6" s="1"/>
  <c r="E64" i="1"/>
  <c r="G63" i="1"/>
  <c r="D39" i="1"/>
  <c r="B33" i="1"/>
  <c r="B32" i="1"/>
  <c r="H31" i="1"/>
  <c r="B31" i="1"/>
  <c r="B30" i="1"/>
  <c r="B29" i="1"/>
  <c r="B28" i="1"/>
  <c r="B27" i="1"/>
  <c r="B26" i="1"/>
  <c r="H20" i="1"/>
  <c r="G20" i="1"/>
  <c r="H19" i="1"/>
  <c r="G19" i="1"/>
  <c r="H18" i="1"/>
  <c r="G18" i="1"/>
  <c r="I17" i="1"/>
  <c r="H17" i="1"/>
  <c r="G17" i="1"/>
  <c r="I16" i="1"/>
  <c r="H16" i="1"/>
  <c r="G16" i="1"/>
  <c r="H15" i="1"/>
  <c r="G15" i="1"/>
  <c r="H14" i="1"/>
  <c r="G14" i="1"/>
  <c r="H13" i="1"/>
  <c r="G13" i="1"/>
  <c r="H12" i="1"/>
  <c r="G12" i="1"/>
  <c r="F12" i="1"/>
  <c r="E12" i="1"/>
  <c r="D12" i="1"/>
  <c r="H11" i="1"/>
  <c r="G11" i="1"/>
  <c r="F11" i="1"/>
  <c r="E11" i="1"/>
  <c r="D11" i="1"/>
  <c r="H10" i="1"/>
  <c r="G10" i="1"/>
  <c r="F10" i="1"/>
  <c r="E10" i="1"/>
  <c r="D10" i="1"/>
  <c r="H9" i="1"/>
  <c r="G9" i="1"/>
  <c r="F9" i="1"/>
  <c r="E9" i="1"/>
  <c r="D9" i="1"/>
  <c r="H8" i="1"/>
  <c r="G8" i="1"/>
  <c r="F8" i="1"/>
  <c r="E8" i="1"/>
  <c r="D8" i="1"/>
  <c r="H7" i="1"/>
  <c r="G7" i="1"/>
  <c r="F7" i="1"/>
  <c r="E7" i="1"/>
  <c r="D7" i="1"/>
  <c r="H6" i="1"/>
  <c r="G6" i="1"/>
  <c r="F6" i="1"/>
  <c r="E6" i="1"/>
  <c r="H5" i="1"/>
  <c r="G5" i="1"/>
  <c r="F5" i="1"/>
  <c r="E5" i="1"/>
  <c r="D5" i="1"/>
  <c r="L13" i="6"/>
  <c r="K13" i="6"/>
  <c r="J13" i="6"/>
  <c r="L12" i="6"/>
  <c r="L11" i="6"/>
  <c r="L10" i="6"/>
  <c r="G10" i="6"/>
  <c r="L9" i="6"/>
  <c r="K9" i="6"/>
  <c r="J9" i="6"/>
  <c r="L8" i="6"/>
  <c r="K8" i="6"/>
  <c r="J8" i="6"/>
  <c r="G8" i="6"/>
  <c r="L7" i="6"/>
  <c r="G11" i="6" l="1"/>
  <c r="W10" i="1"/>
  <c r="W12" i="1"/>
  <c r="W8" i="1"/>
  <c r="I87" i="1"/>
  <c r="H8" i="6" s="1"/>
  <c r="H84" i="1"/>
  <c r="G6" i="6" s="1"/>
  <c r="J91" i="1"/>
  <c r="I11" i="6" s="1"/>
  <c r="W13" i="1"/>
  <c r="H45" i="3"/>
  <c r="G9" i="6"/>
  <c r="G13" i="6"/>
  <c r="J14" i="6"/>
  <c r="J39" i="1"/>
  <c r="J88" i="1"/>
  <c r="I9" i="6" s="1"/>
  <c r="L15" i="6"/>
  <c r="L16" i="6" s="1"/>
  <c r="G12" i="6"/>
  <c r="J33" i="1"/>
  <c r="J89" i="1"/>
  <c r="I13" i="6" s="1"/>
  <c r="K91" i="1"/>
  <c r="J11" i="6" s="1"/>
  <c r="I32" i="6"/>
  <c r="K84" i="1"/>
  <c r="J6" i="6" s="1"/>
  <c r="L84" i="1"/>
  <c r="K6" i="6" s="1"/>
  <c r="L86" i="1"/>
  <c r="K12" i="6" s="1"/>
  <c r="L90" i="1"/>
  <c r="K10" i="6" s="1"/>
  <c r="J29" i="1"/>
  <c r="J31" i="1"/>
  <c r="J35" i="1"/>
  <c r="G53" i="1"/>
  <c r="I84" i="1"/>
  <c r="H6" i="6" s="1"/>
  <c r="M84" i="1"/>
  <c r="L6" i="6" s="1"/>
  <c r="I86" i="1"/>
  <c r="H12" i="6" s="1"/>
  <c r="I90" i="1"/>
  <c r="H10" i="6" s="1"/>
  <c r="L91" i="1"/>
  <c r="K11" i="6" s="1"/>
  <c r="J27" i="1"/>
  <c r="J37" i="1"/>
  <c r="J84" i="1"/>
  <c r="J86" i="1"/>
  <c r="I12" i="6" s="1"/>
  <c r="J90" i="1"/>
  <c r="I10" i="6" s="1"/>
  <c r="W6" i="1"/>
  <c r="H85" i="1"/>
  <c r="L85" i="1" l="1"/>
  <c r="K7" i="6" s="1"/>
  <c r="K85" i="1"/>
  <c r="J7" i="6" s="1"/>
  <c r="G7" i="6"/>
  <c r="J85" i="1"/>
  <c r="I7" i="6" s="1"/>
  <c r="I15" i="6" s="1"/>
  <c r="I16" i="6" s="1"/>
  <c r="W4" i="1"/>
  <c r="I85" i="1"/>
  <c r="H7" i="6" s="1"/>
  <c r="H15" i="6" s="1"/>
  <c r="H16" i="6" s="1"/>
  <c r="H17" i="6" s="1"/>
  <c r="I6" i="6"/>
  <c r="J94" i="1"/>
  <c r="M94" i="1"/>
  <c r="L17" i="6"/>
  <c r="I19" i="6" s="1"/>
  <c r="D40" i="9" s="1"/>
  <c r="I25" i="6" l="1"/>
  <c r="J25" i="6" s="1"/>
  <c r="I21" i="6"/>
  <c r="J15" i="6"/>
  <c r="J16" i="6" s="1"/>
  <c r="J17" i="6" s="1"/>
  <c r="I28" i="6" s="1"/>
  <c r="J28" i="6" s="1"/>
  <c r="K94" i="1"/>
  <c r="K15" i="6"/>
  <c r="K16" i="6" s="1"/>
  <c r="K17" i="6" s="1"/>
  <c r="I29" i="6" s="1"/>
  <c r="J29" i="6" s="1"/>
  <c r="L94" i="1"/>
  <c r="J19" i="6"/>
  <c r="G48" i="1"/>
  <c r="I94" i="1"/>
  <c r="I17" i="6"/>
  <c r="G15" i="6"/>
  <c r="G16" i="6" s="1"/>
  <c r="G17" i="6" s="1"/>
  <c r="I20" i="6" s="1"/>
  <c r="H94" i="1"/>
  <c r="J20" i="6" l="1"/>
  <c r="G49" i="1"/>
  <c r="I24" i="6"/>
  <c r="I22" i="6"/>
  <c r="J22" i="6" s="1"/>
  <c r="I26" i="6"/>
  <c r="J26" i="6" s="1"/>
  <c r="G51" i="1"/>
  <c r="J21" i="6"/>
  <c r="G50" i="1" l="1"/>
  <c r="J24" i="6"/>
  <c r="D117" i="9" s="1"/>
  <c r="D33" i="9" l="1"/>
  <c r="D32" i="9"/>
  <c r="D87" i="9" l="1"/>
  <c r="D114" i="9"/>
  <c r="J147" i="7"/>
  <c r="D115" i="9" l="1"/>
  <c r="D35" i="9"/>
  <c r="D36" i="9" s="1"/>
  <c r="D30" i="9"/>
  <c r="D29" i="9"/>
  <c r="D26" i="9"/>
  <c r="D27" i="9" s="1"/>
  <c r="D65" i="9"/>
  <c r="D43" i="9"/>
  <c r="C43" i="9"/>
  <c r="D64" i="9"/>
  <c r="D66" i="9" s="1"/>
  <c r="D49" i="9"/>
  <c r="D48" i="9"/>
  <c r="D74" i="9" s="1"/>
  <c r="D47" i="9"/>
  <c r="D69" i="9" s="1"/>
  <c r="D46" i="9"/>
  <c r="D45" i="9"/>
  <c r="A8" i="4"/>
  <c r="A9" i="4"/>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7" i="4"/>
  <c r="A6" i="4"/>
  <c r="D2" i="4"/>
  <c r="E2" i="4" s="1"/>
  <c r="F2" i="4" s="1"/>
  <c r="G2" i="4" s="1"/>
  <c r="H2" i="4" s="1"/>
  <c r="I2" i="4" s="1"/>
  <c r="J2" i="4" s="1"/>
  <c r="D34" i="9"/>
  <c r="D103" i="9" l="1"/>
  <c r="D105" i="9"/>
  <c r="D31" i="9"/>
  <c r="D28" i="9"/>
  <c r="D59" i="9"/>
  <c r="B139" i="7" s="1"/>
  <c r="D37" i="9"/>
  <c r="D55" i="9"/>
  <c r="D57" i="9" s="1"/>
  <c r="B140" i="7" s="1"/>
  <c r="B141" i="7" s="1"/>
  <c r="D54" i="9"/>
  <c r="D51" i="9"/>
  <c r="D68" i="9" s="1"/>
  <c r="D70" i="9" s="1"/>
  <c r="D71" i="9" s="1"/>
  <c r="D73" i="9"/>
  <c r="D75" i="9" s="1"/>
  <c r="D76" i="9" s="1"/>
  <c r="D52" i="9"/>
  <c r="D62" i="9" s="1"/>
  <c r="D56" i="9"/>
  <c r="D58" i="9" s="1"/>
  <c r="D60" i="9"/>
  <c r="D116" i="9"/>
  <c r="G37" i="7"/>
  <c r="D38" i="9" l="1"/>
  <c r="D61" i="9"/>
  <c r="D93" i="9"/>
  <c r="D53" i="9"/>
  <c r="D97" i="9" s="1"/>
  <c r="D98" i="9" s="1"/>
  <c r="M102" i="7"/>
  <c r="B90" i="7"/>
  <c r="D94" i="9" l="1"/>
  <c r="G19" i="10"/>
  <c r="E70" i="7"/>
  <c r="E11" i="10" l="1"/>
  <c r="G11" i="10"/>
  <c r="B12" i="10"/>
  <c r="B13" i="10" s="1"/>
  <c r="E13" i="10" s="1"/>
  <c r="E12" i="10"/>
  <c r="N31" i="10"/>
  <c r="N47" i="10"/>
  <c r="N48" i="10"/>
  <c r="N49" i="10"/>
  <c r="O49" i="10"/>
  <c r="N50" i="10"/>
  <c r="O50" i="10"/>
  <c r="D45" i="7"/>
  <c r="G92" i="7" l="1"/>
  <c r="K92" i="7"/>
  <c r="H92" i="7"/>
  <c r="B14" i="10"/>
  <c r="G12" i="10"/>
  <c r="G13" i="10" s="1"/>
  <c r="N45" i="10"/>
  <c r="N46" i="10"/>
  <c r="N38" i="10" l="1"/>
  <c r="E14" i="10"/>
  <c r="N44" i="10" s="1"/>
  <c r="B15" i="10"/>
  <c r="G14" i="10"/>
  <c r="N37" i="10"/>
  <c r="E15" i="10" l="1"/>
  <c r="N43" i="10" s="1"/>
  <c r="B16" i="10"/>
  <c r="G15" i="10"/>
  <c r="N36" i="10"/>
  <c r="B17" i="10" l="1"/>
  <c r="E16" i="10"/>
  <c r="N42" i="10" s="1"/>
  <c r="N35" i="10"/>
  <c r="G16" i="10"/>
  <c r="E17" i="10" l="1"/>
  <c r="N41" i="10" s="1"/>
  <c r="B18" i="10"/>
  <c r="G17" i="10"/>
  <c r="N34" i="10"/>
  <c r="F60" i="7"/>
  <c r="B19" i="10" l="1"/>
  <c r="E19" i="10" s="1"/>
  <c r="N39" i="10" s="1"/>
  <c r="E18" i="10"/>
  <c r="N40" i="10" s="1"/>
  <c r="I33" i="7"/>
  <c r="G18" i="10"/>
  <c r="N33" i="10"/>
  <c r="F7" i="8"/>
  <c r="F6" i="8"/>
  <c r="F5" i="8"/>
  <c r="F4" i="8"/>
  <c r="C6" i="8"/>
  <c r="C5" i="8"/>
  <c r="C4" i="8"/>
  <c r="N32" i="10" l="1"/>
  <c r="F59" i="7" l="1"/>
  <c r="I39" i="7"/>
  <c r="G96" i="7" s="1"/>
  <c r="I45" i="7"/>
  <c r="G99" i="7" s="1"/>
  <c r="I43" i="7"/>
  <c r="G98" i="7" s="1"/>
  <c r="I35" i="7"/>
  <c r="G94" i="7" s="1"/>
  <c r="I37" i="7"/>
  <c r="G95" i="7" s="1"/>
  <c r="I41" i="7"/>
  <c r="G97" i="7" s="1"/>
  <c r="H95" i="7" l="1"/>
  <c r="H96" i="7"/>
  <c r="K102" i="7"/>
  <c r="I99" i="7"/>
  <c r="J99" i="7"/>
  <c r="H99" i="7"/>
  <c r="I94" i="7"/>
  <c r="J94" i="7"/>
  <c r="H94" i="7"/>
  <c r="I97" i="7"/>
  <c r="J97" i="7"/>
  <c r="H97" i="7"/>
  <c r="I98" i="7"/>
  <c r="G93" i="7"/>
  <c r="H98" i="7"/>
  <c r="J98" i="7"/>
  <c r="V8" i="7"/>
  <c r="V6" i="7"/>
  <c r="V10" i="7"/>
  <c r="V12" i="7"/>
  <c r="V16" i="7"/>
  <c r="V14" i="7"/>
  <c r="G26" i="7"/>
  <c r="F26" i="7"/>
  <c r="G25" i="7"/>
  <c r="F25" i="7"/>
  <c r="G24" i="7"/>
  <c r="F24" i="7"/>
  <c r="G23" i="7"/>
  <c r="F23" i="7"/>
  <c r="G22" i="7"/>
  <c r="F22" i="7"/>
  <c r="G21" i="7"/>
  <c r="F21" i="7"/>
  <c r="G20" i="7"/>
  <c r="F20" i="7"/>
  <c r="G19" i="7"/>
  <c r="F19" i="7"/>
  <c r="G18" i="7"/>
  <c r="F18" i="7"/>
  <c r="G17" i="7"/>
  <c r="F17" i="7"/>
  <c r="G16" i="7"/>
  <c r="F16" i="7"/>
  <c r="G15" i="7"/>
  <c r="F15" i="7"/>
  <c r="E15" i="7"/>
  <c r="D15" i="7"/>
  <c r="G14" i="7"/>
  <c r="F14" i="7"/>
  <c r="E14" i="7"/>
  <c r="D14" i="7"/>
  <c r="G13" i="7"/>
  <c r="F13" i="7"/>
  <c r="E13" i="7"/>
  <c r="D13" i="7"/>
  <c r="G12" i="7"/>
  <c r="F12" i="7"/>
  <c r="E12" i="7"/>
  <c r="D12" i="7"/>
  <c r="G11" i="7"/>
  <c r="F11" i="7"/>
  <c r="E11" i="7"/>
  <c r="D11" i="7"/>
  <c r="G10" i="7"/>
  <c r="F10" i="7"/>
  <c r="E10" i="7"/>
  <c r="D10" i="7"/>
  <c r="G9" i="7"/>
  <c r="F9" i="7"/>
  <c r="E9" i="7"/>
  <c r="D9" i="7"/>
  <c r="G8" i="7"/>
  <c r="F8" i="7"/>
  <c r="E8" i="7"/>
  <c r="D8" i="7"/>
  <c r="G7" i="7"/>
  <c r="F7" i="7"/>
  <c r="E7" i="7"/>
  <c r="D7" i="7"/>
  <c r="G6" i="7"/>
  <c r="F6" i="7"/>
  <c r="E6" i="7"/>
  <c r="D6" i="7"/>
  <c r="G5" i="7"/>
  <c r="F5" i="7"/>
  <c r="E5" i="7"/>
  <c r="D5" i="7"/>
  <c r="F46" i="8"/>
  <c r="K15" i="5" l="1"/>
  <c r="J18" i="5" s="1"/>
  <c r="K18" i="5" s="1"/>
  <c r="I92" i="7"/>
  <c r="J92" i="7"/>
  <c r="G102" i="7"/>
  <c r="G15" i="5" s="1"/>
  <c r="J19" i="5" s="1"/>
  <c r="I93" i="7"/>
  <c r="H93" i="7"/>
  <c r="H102" i="7" s="1"/>
  <c r="H15" i="5" s="1"/>
  <c r="J93" i="7"/>
  <c r="V4" i="7"/>
  <c r="F11" i="8"/>
  <c r="F61" i="8" s="1"/>
  <c r="F94" i="8" s="1"/>
  <c r="F47" i="8"/>
  <c r="F48" i="8" s="1"/>
  <c r="J20" i="5" l="1"/>
  <c r="K20" i="5" s="1"/>
  <c r="J23" i="5"/>
  <c r="K23" i="5" s="1"/>
  <c r="F54" i="7"/>
  <c r="K19" i="5"/>
  <c r="J22" i="5"/>
  <c r="K22" i="5" s="1"/>
  <c r="J102" i="7"/>
  <c r="J15" i="5" s="1"/>
  <c r="J26" i="5" s="1"/>
  <c r="K26" i="5" s="1"/>
  <c r="I102" i="7"/>
  <c r="I15" i="5" s="1"/>
  <c r="J25" i="5" s="1"/>
  <c r="K25" i="5" s="1"/>
  <c r="F55" i="7"/>
  <c r="F13" i="8"/>
  <c r="F14" i="8" s="1"/>
  <c r="F15" i="8" s="1"/>
  <c r="D102" i="9" l="1"/>
  <c r="D104" i="9" s="1"/>
  <c r="D107" i="9" s="1"/>
  <c r="D39" i="9"/>
  <c r="I7" i="10"/>
  <c r="D12" i="10" s="1"/>
  <c r="O48" i="10" s="1"/>
  <c r="F57" i="7"/>
  <c r="F95" i="8"/>
  <c r="F96" i="8" s="1"/>
  <c r="I6" i="10"/>
  <c r="F56" i="7"/>
  <c r="D118" i="9"/>
  <c r="F62" i="8"/>
  <c r="F49" i="8"/>
  <c r="F50" i="8" s="1"/>
  <c r="F51" i="8" s="1"/>
  <c r="F12" i="8"/>
  <c r="D83" i="9" l="1"/>
  <c r="D88" i="9" s="1"/>
  <c r="D95" i="9" s="1"/>
  <c r="D85" i="9"/>
  <c r="H16" i="10"/>
  <c r="O34" i="10" s="1"/>
  <c r="I25" i="10"/>
  <c r="I27" i="10"/>
  <c r="F12" i="10"/>
  <c r="F15" i="10"/>
  <c r="O43" i="10" s="1"/>
  <c r="F11" i="10"/>
  <c r="H11" i="10"/>
  <c r="F68" i="7" s="1"/>
  <c r="F69" i="7" s="1"/>
  <c r="I26" i="10"/>
  <c r="H19" i="10"/>
  <c r="O31" i="10" s="1"/>
  <c r="F13" i="10"/>
  <c r="O45" i="10" s="1"/>
  <c r="H12" i="10"/>
  <c r="O38" i="10" s="1"/>
  <c r="F14" i="10"/>
  <c r="O44" i="10" s="1"/>
  <c r="H13" i="10"/>
  <c r="O37" i="10" s="1"/>
  <c r="F16" i="10"/>
  <c r="O42" i="10" s="1"/>
  <c r="H14" i="10"/>
  <c r="O36" i="10" s="1"/>
  <c r="F17" i="10"/>
  <c r="O41" i="10" s="1"/>
  <c r="H15" i="10"/>
  <c r="O35" i="10" s="1"/>
  <c r="F18" i="10"/>
  <c r="O40" i="10" s="1"/>
  <c r="F19" i="10"/>
  <c r="O39" i="10" s="1"/>
  <c r="H17" i="10"/>
  <c r="O33" i="10" s="1"/>
  <c r="H18" i="10"/>
  <c r="O32" i="10" s="1"/>
  <c r="F63" i="8"/>
  <c r="F64" i="8"/>
  <c r="F65" i="8" s="1"/>
  <c r="D119" i="9" l="1"/>
  <c r="D120" i="9" s="1"/>
  <c r="D89" i="9"/>
  <c r="D99" i="9" s="1"/>
  <c r="O46" i="10"/>
  <c r="I22" i="10"/>
</calcChain>
</file>

<file path=xl/comments1.xml><?xml version="1.0" encoding="utf-8"?>
<comments xmlns="http://schemas.openxmlformats.org/spreadsheetml/2006/main">
  <authors>
    <author>Davide Cicchini</author>
  </authors>
  <commentList>
    <comment ref="B9" authorId="0" guid="{DCEFC15B-3438-423E-99DB-5038BF47C1E3}" shapeId="0">
      <text>
        <r>
          <rPr>
            <b/>
            <sz val="9"/>
            <color indexed="81"/>
            <rFont val="Tahoma"/>
            <family val="2"/>
          </rPr>
          <t>Davide Cicchini:</t>
        </r>
        <r>
          <rPr>
            <sz val="9"/>
            <color indexed="81"/>
            <rFont val="Tahoma"/>
            <family val="2"/>
          </rPr>
          <t xml:space="preserve">
Nel caso il solaio fosse ordito parallelamente all'achitrave inserire 0 e ignorare i carichi sottostanti.</t>
        </r>
      </text>
    </comment>
  </commentList>
</comments>
</file>

<file path=xl/comments2.xml><?xml version="1.0" encoding="utf-8"?>
<comments xmlns="http://schemas.openxmlformats.org/spreadsheetml/2006/main">
  <authors>
    <author>Davide Cicchini</author>
  </authors>
  <commentList>
    <comment ref="B145" authorId="0" guid="{DF31F847-EC53-4B01-916D-9FE505AA5E79}" shapeId="0">
      <text>
        <r>
          <rPr>
            <b/>
            <sz val="9"/>
            <color indexed="81"/>
            <rFont val="Tahoma"/>
            <family val="2"/>
          </rPr>
          <t>Davide Cicchini:</t>
        </r>
        <r>
          <rPr>
            <sz val="9"/>
            <color indexed="81"/>
            <rFont val="Tahoma"/>
            <family val="2"/>
          </rPr>
          <t xml:space="preserve">
Va inserito solo se il solaio è soggetto al carico neve ed è ordito perpendicolarmente all'architrave</t>
        </r>
      </text>
    </comment>
  </commentList>
</comments>
</file>

<file path=xl/sharedStrings.xml><?xml version="1.0" encoding="utf-8"?>
<sst xmlns="http://schemas.openxmlformats.org/spreadsheetml/2006/main" count="948" uniqueCount="496">
  <si>
    <t>FC</t>
  </si>
  <si>
    <t>Verifica</t>
  </si>
  <si>
    <t>Mrd (Piano)</t>
  </si>
  <si>
    <r>
      <t>τ</t>
    </r>
    <r>
      <rPr>
        <b/>
        <sz val="9"/>
        <color theme="1"/>
        <rFont val="Calibri"/>
        <family val="2"/>
      </rPr>
      <t>0d</t>
    </r>
  </si>
  <si>
    <r>
      <t>τ</t>
    </r>
    <r>
      <rPr>
        <b/>
        <sz val="9"/>
        <color theme="1"/>
        <rFont val="Calibri"/>
        <family val="2"/>
      </rPr>
      <t>lim</t>
    </r>
  </si>
  <si>
    <t>Vrd</t>
  </si>
  <si>
    <r>
      <rPr>
        <sz val="14"/>
        <color theme="1"/>
        <rFont val="Calibri"/>
        <family val="2"/>
      </rPr>
      <t>γ</t>
    </r>
    <r>
      <rPr>
        <sz val="9"/>
        <color theme="1"/>
        <rFont val="Calibri"/>
        <family val="2"/>
      </rPr>
      <t>m</t>
    </r>
  </si>
  <si>
    <t>w</t>
  </si>
  <si>
    <r>
      <rPr>
        <b/>
        <sz val="14"/>
        <color theme="1"/>
        <rFont val="Calibri"/>
        <family val="2"/>
      </rPr>
      <t>f</t>
    </r>
    <r>
      <rPr>
        <b/>
        <sz val="9"/>
        <color theme="1"/>
        <rFont val="Calibri"/>
        <family val="2"/>
      </rPr>
      <t>m</t>
    </r>
  </si>
  <si>
    <t>l</t>
  </si>
  <si>
    <t>t</t>
  </si>
  <si>
    <t>N</t>
  </si>
  <si>
    <t>b</t>
  </si>
  <si>
    <t>h</t>
  </si>
  <si>
    <r>
      <rPr>
        <b/>
        <sz val="14"/>
        <color theme="1"/>
        <rFont val="Calibri"/>
        <family val="2"/>
      </rPr>
      <t>f</t>
    </r>
    <r>
      <rPr>
        <b/>
        <sz val="9"/>
        <color theme="1"/>
        <rFont val="Calibri"/>
        <family val="2"/>
      </rPr>
      <t>d</t>
    </r>
  </si>
  <si>
    <t>T</t>
  </si>
  <si>
    <t>Mt</t>
  </si>
  <si>
    <t>Ml</t>
  </si>
  <si>
    <t>Valori di riferimento dei parametri meccanici medi e peso specifico per diverse tipologie di muratura.</t>
  </si>
  <si>
    <r>
      <t>fm (N/cm</t>
    </r>
    <r>
      <rPr>
        <vertAlign val="superscript"/>
        <sz val="11"/>
        <color indexed="8"/>
        <rFont val="Calibri"/>
        <family val="2"/>
      </rPr>
      <t>2</t>
    </r>
    <r>
      <rPr>
        <sz val="11"/>
        <color theme="1"/>
        <rFont val="Calibri"/>
        <family val="2"/>
        <scheme val="minor"/>
      </rPr>
      <t>)</t>
    </r>
  </si>
  <si>
    <r>
      <rPr>
        <sz val="11"/>
        <color indexed="8"/>
        <rFont val="Arial Narrow"/>
        <family val="2"/>
      </rPr>
      <t>τ</t>
    </r>
    <r>
      <rPr>
        <sz val="11"/>
        <color indexed="8"/>
        <rFont val="Calibri"/>
        <family val="2"/>
      </rPr>
      <t>0</t>
    </r>
    <r>
      <rPr>
        <sz val="11"/>
        <color theme="1"/>
        <rFont val="Calibri"/>
        <family val="2"/>
        <scheme val="minor"/>
      </rPr>
      <t xml:space="preserve"> (N/cm</t>
    </r>
    <r>
      <rPr>
        <vertAlign val="superscript"/>
        <sz val="11"/>
        <color indexed="8"/>
        <rFont val="Calibri"/>
        <family val="2"/>
      </rPr>
      <t>2</t>
    </r>
    <r>
      <rPr>
        <sz val="11"/>
        <color theme="1"/>
        <rFont val="Calibri"/>
        <family val="2"/>
        <scheme val="minor"/>
      </rPr>
      <t>)</t>
    </r>
  </si>
  <si>
    <r>
      <t>E (N/mm</t>
    </r>
    <r>
      <rPr>
        <vertAlign val="superscript"/>
        <sz val="11"/>
        <color indexed="8"/>
        <rFont val="Calibri"/>
        <family val="2"/>
      </rPr>
      <t>2</t>
    </r>
    <r>
      <rPr>
        <sz val="11"/>
        <color theme="1"/>
        <rFont val="Calibri"/>
        <family val="2"/>
        <scheme val="minor"/>
      </rPr>
      <t>)</t>
    </r>
  </si>
  <si>
    <r>
      <t>G (N/mm</t>
    </r>
    <r>
      <rPr>
        <vertAlign val="superscript"/>
        <sz val="11"/>
        <color indexed="8"/>
        <rFont val="Calibri"/>
        <family val="2"/>
      </rPr>
      <t>2</t>
    </r>
    <r>
      <rPr>
        <sz val="11"/>
        <color theme="1"/>
        <rFont val="Calibri"/>
        <family val="2"/>
        <scheme val="minor"/>
      </rPr>
      <t>)</t>
    </r>
  </si>
  <si>
    <r>
      <t>w (kN/m</t>
    </r>
    <r>
      <rPr>
        <vertAlign val="superscript"/>
        <sz val="11"/>
        <color indexed="8"/>
        <rFont val="Calibri"/>
        <family val="2"/>
      </rPr>
      <t>3</t>
    </r>
    <r>
      <rPr>
        <sz val="11"/>
        <color theme="1"/>
        <rFont val="Calibri"/>
        <family val="2"/>
        <scheme val="minor"/>
      </rPr>
      <t>)</t>
    </r>
  </si>
  <si>
    <t>Malta buona</t>
  </si>
  <si>
    <t>Giunti sottili</t>
  </si>
  <si>
    <t>ricorsi o listature</t>
  </si>
  <si>
    <t>connessione</t>
  </si>
  <si>
    <t>nucleo scadente</t>
  </si>
  <si>
    <t xml:space="preserve">Muratura in pietrame disordinata </t>
  </si>
  <si>
    <t xml:space="preserve">Muratura a conci sbozzati, con paramento di limitato spessore e nucleo interno </t>
  </si>
  <si>
    <t xml:space="preserve">Muratura in pietre a spacco con buona tessitura </t>
  </si>
  <si>
    <t xml:space="preserve">Muratura a conci di pietra tenera </t>
  </si>
  <si>
    <t xml:space="preserve">Muratura a blocchi lapidei squadrati </t>
  </si>
  <si>
    <t>Muratura in mattoni pieni e malta di calce</t>
  </si>
  <si>
    <t xml:space="preserve">Muratura in mattoni semipieni con malta cementizia (es. doppio UNI) </t>
  </si>
  <si>
    <t xml:space="preserve">Muratura in blocchi laterizi semipieni (% foratura &lt; 45%) </t>
  </si>
  <si>
    <t>Muratura in blocchi laterizi semipieni, con giunti verticali a secco (% foratura &lt; 45%)</t>
  </si>
  <si>
    <t>Muratura in blocchi di calcestruzzo o argilla espansa (% foratura tra 45% e 60%)</t>
  </si>
  <si>
    <t>Muratura in blocchi di calcestruzzo semipieni (% foratura &lt; 45%)</t>
  </si>
  <si>
    <t>H</t>
  </si>
  <si>
    <t>Livello di conoscenza</t>
  </si>
  <si>
    <t>LC</t>
  </si>
  <si>
    <t>LC2</t>
  </si>
  <si>
    <t>Fattore di confidenza</t>
  </si>
  <si>
    <t>lunghezza del pannello murario</t>
  </si>
  <si>
    <t>Spessore del pannello murario</t>
  </si>
  <si>
    <t>Altezza del pannello murario</t>
  </si>
  <si>
    <t>LC1</t>
  </si>
  <si>
    <t>LC3</t>
  </si>
  <si>
    <t>Connessione trasversale</t>
  </si>
  <si>
    <t>Giunti sottili &lt;10mm</t>
  </si>
  <si>
    <t>Ricorsi o listature</t>
  </si>
  <si>
    <t>Nucleo scadente</t>
  </si>
  <si>
    <t>Iniezioni di miscele leganti</t>
  </si>
  <si>
    <t>si</t>
  </si>
  <si>
    <t>no</t>
  </si>
  <si>
    <t>Iniezioni</t>
  </si>
  <si>
    <t>Intonaco arm</t>
  </si>
  <si>
    <t xml:space="preserve">lineare </t>
  </si>
  <si>
    <t>non lineare</t>
  </si>
  <si>
    <r>
      <t>τ</t>
    </r>
    <r>
      <rPr>
        <b/>
        <sz val="9"/>
        <color theme="1"/>
        <rFont val="Calibri"/>
        <family val="2"/>
      </rPr>
      <t>0</t>
    </r>
  </si>
  <si>
    <t>E</t>
  </si>
  <si>
    <t>G</t>
  </si>
  <si>
    <t>CARATTERISTICHE GEOMETRICHE</t>
  </si>
  <si>
    <t>TIPOLOGIA DELLA MURATURA</t>
  </si>
  <si>
    <t>SOLLECITAZIONI</t>
  </si>
  <si>
    <t>Sforno normale agente in testa al pannello</t>
  </si>
  <si>
    <t>Sforzo di taglio agente nel piano del pannello</t>
  </si>
  <si>
    <t>Momento flettente agente nel piano</t>
  </si>
  <si>
    <t>Momento flettente agente fuori del piano</t>
  </si>
  <si>
    <t>x</t>
  </si>
  <si>
    <r>
      <t>σ</t>
    </r>
    <r>
      <rPr>
        <b/>
        <sz val="9"/>
        <color theme="1"/>
        <rFont val="Calibri"/>
        <family val="2"/>
      </rPr>
      <t>medio</t>
    </r>
  </si>
  <si>
    <t>Fc</t>
  </si>
  <si>
    <t>Forza di compressione</t>
  </si>
  <si>
    <t>Tensione media di compressione</t>
  </si>
  <si>
    <t>Porzione compressa</t>
  </si>
  <si>
    <t>Momento resistente</t>
  </si>
  <si>
    <t>Coef. Correttivo legato alla distribuzione degli sforzi</t>
  </si>
  <si>
    <r>
      <t>f</t>
    </r>
    <r>
      <rPr>
        <b/>
        <sz val="9"/>
        <color theme="1"/>
        <rFont val="Calibri"/>
        <family val="2"/>
      </rPr>
      <t>td</t>
    </r>
  </si>
  <si>
    <t>Resistenza a taglio</t>
  </si>
  <si>
    <t>RIEPILOGO DATI</t>
  </si>
  <si>
    <t>VERIFICA A FLESSIONE NEL PIANO</t>
  </si>
  <si>
    <t>VERIFICA A FLESSIONE FUORI DEL PIANO</t>
  </si>
  <si>
    <t>VERIFICA A TAGLIO (TURNSEK-CACOVIC) C8.7.1.5</t>
  </si>
  <si>
    <t>coef.correttivo</t>
  </si>
  <si>
    <t>Definito il livello di conoscenza e le eventuali prove è possibile definire le caratteristiche meccaniche dei materiali come segue:</t>
  </si>
  <si>
    <t>LC3: sono obbligatorie le prove sui materiali (con martinetti piatti). Si distinguono tre casi in funzione del numero di provini a disposizione:</t>
  </si>
  <si>
    <t>a) sono disponibili tre o più provini per ogni tipologia di muratura:
- Resistenze (fm, t0): si assume il valore medio ottenuto dalle prove;
- Moduli elastici (E, G): si assume il valore medio ottenuto dalle prove o                                                                                                                                                                                                                                                                            il valore medio riportato in tabella.</t>
  </si>
  <si>
    <t>b) Sono disponibili due soli provini per ogni tipologia di muratura:
- Resistenze (fm, t0): se il valore medio ottenuto dalle prove è compreso nell’intervallo riportato in tabella,                                                                                                                                                                                          si assume come valore quello medio riportato in Tabella. Se il valore medio delle prove è maggiore                                                                                                                                                                                                  dell’estremo superiore riportato in tabella, si assume quest’ultimo come valore di resistenza per i materiali.                                                                                                                                                                                            Se il valore medio delle prove è inferiore al valore minimo riportato in tabella, si assume come valore quello medio delle prove;
- Moduli elastici (E, G): come il caso a).</t>
  </si>
  <si>
    <t>LC1: non sono richieste prove sui materiali ed i parametri meccanici sono definiti esclusivamente dalla tabella secondo le seguenti modalità:
- Resistenze (fm, t0): si assume il valore minimo riportato in tabella;
- Moduli elastici (E, G): si assume il valore medio riportato in tabella.</t>
  </si>
  <si>
    <t>LC2: non sono richieste prove sui materiali (ai fini della valutazione delle caratteristiche meccaniche). I parametri meccanici sono definititi esclusivamente dalla tabella secondo le seguenti modalità:
- Resistenze (fm, t0): si assume il valore medio riportato in tabella;
- Moduli elastici (E, G): come per LC1.</t>
  </si>
  <si>
    <t>c) È disponibile un solo provino per ogni tipologia di muratura:
- Resistenze (fm, t0): se il valore di resistenza della prova è maggiore del valore minimo riportato in tabella, si assume come valore medio quello riportato in tabella. Se il valore di resistenza della prova è inferiore al valore minimo riportato in tabella, si assume come valore medio quello della prova;
- Moduli elastici (E, G): come il caso a),</t>
  </si>
  <si>
    <t>Muratura armata</t>
  </si>
  <si>
    <t>Peso specifico della muratura</t>
  </si>
  <si>
    <t>Resistenza media a compressione della muratura</t>
  </si>
  <si>
    <t>Resistenza media a taglio della muratura</t>
  </si>
  <si>
    <t>Resistenza di calcolo, a compressione della muratura</t>
  </si>
  <si>
    <t>Resistenza di calcolo, a taglio della muratura</t>
  </si>
  <si>
    <t>Coefficiente di sicurezza</t>
  </si>
  <si>
    <t>Valore medio del modulo di elasticità normale</t>
  </si>
  <si>
    <t>Valore medio del modulo di elasticità tangenziale</t>
  </si>
  <si>
    <t>Tipo di analisi</t>
  </si>
  <si>
    <t>Resistenza di calcolo per fessurazione diagonale</t>
  </si>
  <si>
    <t>Tensione resistente a taglio</t>
  </si>
  <si>
    <t>VERIFICA DI COMPRESSIONE</t>
  </si>
  <si>
    <t>www.davidecicchini.it</t>
  </si>
  <si>
    <t>Ing. Davide Cicchini</t>
  </si>
  <si>
    <t xml:space="preserve">Il foglio di calcolo definisce i parametri meccanici per la muratura esistente e </t>
  </si>
  <si>
    <t>[-]</t>
  </si>
  <si>
    <r>
      <t>kN/m</t>
    </r>
    <r>
      <rPr>
        <sz val="11"/>
        <color theme="1"/>
        <rFont val="Calibri"/>
        <family val="2"/>
      </rPr>
      <t>²</t>
    </r>
  </si>
  <si>
    <r>
      <rPr>
        <b/>
        <sz val="14"/>
        <color theme="1"/>
        <rFont val="Calibri"/>
        <family val="2"/>
      </rPr>
      <t>f</t>
    </r>
    <r>
      <rPr>
        <b/>
        <sz val="9"/>
        <color theme="1"/>
        <rFont val="Calibri"/>
        <family val="2"/>
      </rPr>
      <t>md</t>
    </r>
  </si>
  <si>
    <r>
      <t>kN/m</t>
    </r>
    <r>
      <rPr>
        <sz val="11"/>
        <color theme="1"/>
        <rFont val="Calibri"/>
        <family val="2"/>
      </rPr>
      <t>³</t>
    </r>
  </si>
  <si>
    <t>Mpa</t>
  </si>
  <si>
    <t>E(0,4fu-0,2fu)</t>
  </si>
  <si>
    <t>E(0,2fu-0)</t>
  </si>
  <si>
    <t>E(0,4fu-0)</t>
  </si>
  <si>
    <t>Etan</t>
  </si>
  <si>
    <t>-</t>
  </si>
  <si>
    <r>
      <t>ε</t>
    </r>
    <r>
      <rPr>
        <b/>
        <sz val="9"/>
        <color theme="1"/>
        <rFont val="Calibri"/>
        <family val="2"/>
      </rPr>
      <t>u</t>
    </r>
  </si>
  <si>
    <t>ε₀</t>
  </si>
  <si>
    <t>σ</t>
  </si>
  <si>
    <t>ε</t>
  </si>
  <si>
    <t>ESPORTAZIONE</t>
  </si>
  <si>
    <t>parabola</t>
  </si>
  <si>
    <t>trazione</t>
  </si>
  <si>
    <t>Deformazione al picco di resistenza</t>
  </si>
  <si>
    <t>Deformazione ultima</t>
  </si>
  <si>
    <t>LEGAME COSTITUTIVO DELLA MURATURA</t>
  </si>
  <si>
    <t>Modulo elastico tangente</t>
  </si>
  <si>
    <t>Modulo elastico secante</t>
  </si>
  <si>
    <t>decadente</t>
  </si>
  <si>
    <t>100%</t>
  </si>
  <si>
    <t>75%</t>
  </si>
  <si>
    <t>50%</t>
  </si>
  <si>
    <t xml:space="preserve">Valore medio del modulo di elasticità normale </t>
  </si>
  <si>
    <t>Inserire i coefficienti correttivi manualmente?</t>
  </si>
  <si>
    <t>Coefficiente di sicurezza γm</t>
  </si>
  <si>
    <t>Condizione fessurata</t>
  </si>
  <si>
    <t>Rigidezza fessurata (100% = "non fessurato")</t>
  </si>
  <si>
    <t>(Opzione da usare con cautela)</t>
  </si>
  <si>
    <t>utente</t>
  </si>
  <si>
    <t>coefficiente definito da utente</t>
  </si>
  <si>
    <t>assi di riferimento</t>
  </si>
  <si>
    <t>dimensioni geometriche</t>
  </si>
  <si>
    <t>forature d'ala</t>
  </si>
  <si>
    <t>posiz.</t>
  </si>
  <si>
    <t>profilo</t>
  </si>
  <si>
    <t>mm</t>
  </si>
  <si>
    <t>A</t>
  </si>
  <si>
    <t>p</t>
  </si>
  <si>
    <t>U</t>
  </si>
  <si>
    <t>X  -  X</t>
  </si>
  <si>
    <t>Y  -  Y</t>
  </si>
  <si>
    <r>
      <t>S</t>
    </r>
    <r>
      <rPr>
        <b/>
        <vertAlign val="subscript"/>
        <sz val="10"/>
        <rFont val="Futura Lt BT"/>
        <family val="2"/>
      </rPr>
      <t>x</t>
    </r>
  </si>
  <si>
    <r>
      <t>s</t>
    </r>
    <r>
      <rPr>
        <b/>
        <vertAlign val="subscript"/>
        <sz val="10"/>
        <rFont val="Futura Lt BT"/>
        <family val="2"/>
      </rPr>
      <t>x</t>
    </r>
  </si>
  <si>
    <r>
      <t>cm</t>
    </r>
    <r>
      <rPr>
        <b/>
        <vertAlign val="superscript"/>
        <sz val="11"/>
        <rFont val="Futura Lt BT"/>
        <family val="2"/>
      </rPr>
      <t>2</t>
    </r>
  </si>
  <si>
    <t>baric.</t>
  </si>
  <si>
    <r>
      <t>t</t>
    </r>
    <r>
      <rPr>
        <b/>
        <vertAlign val="subscript"/>
        <sz val="11"/>
        <rFont val="Futura Lt BT"/>
        <family val="2"/>
      </rPr>
      <t>w</t>
    </r>
  </si>
  <si>
    <r>
      <t>t</t>
    </r>
    <r>
      <rPr>
        <b/>
        <vertAlign val="subscript"/>
        <sz val="11"/>
        <rFont val="Futura Lt BT"/>
        <family val="2"/>
      </rPr>
      <t>f</t>
    </r>
  </si>
  <si>
    <t>r</t>
  </si>
  <si>
    <r>
      <t>J</t>
    </r>
    <r>
      <rPr>
        <b/>
        <vertAlign val="subscript"/>
        <sz val="11"/>
        <rFont val="Futura Lt BT"/>
        <family val="2"/>
      </rPr>
      <t>x</t>
    </r>
  </si>
  <si>
    <r>
      <t>W</t>
    </r>
    <r>
      <rPr>
        <b/>
        <vertAlign val="subscript"/>
        <sz val="11"/>
        <rFont val="Futura Lt BT"/>
        <family val="2"/>
      </rPr>
      <t>x</t>
    </r>
  </si>
  <si>
    <r>
      <t>i</t>
    </r>
    <r>
      <rPr>
        <b/>
        <vertAlign val="subscript"/>
        <sz val="11"/>
        <rFont val="Futura Lt BT"/>
        <family val="2"/>
      </rPr>
      <t>x</t>
    </r>
  </si>
  <si>
    <r>
      <t>J</t>
    </r>
    <r>
      <rPr>
        <b/>
        <vertAlign val="subscript"/>
        <sz val="11"/>
        <rFont val="Futura Lt BT"/>
        <family val="2"/>
      </rPr>
      <t>y</t>
    </r>
  </si>
  <si>
    <r>
      <t>W</t>
    </r>
    <r>
      <rPr>
        <b/>
        <vertAlign val="subscript"/>
        <sz val="11"/>
        <rFont val="Futura Lt BT"/>
        <family val="2"/>
      </rPr>
      <t>y</t>
    </r>
  </si>
  <si>
    <r>
      <t>i</t>
    </r>
    <r>
      <rPr>
        <b/>
        <vertAlign val="subscript"/>
        <sz val="11"/>
        <rFont val="Futura Lt BT"/>
        <family val="2"/>
      </rPr>
      <t>y</t>
    </r>
  </si>
  <si>
    <t>d</t>
  </si>
  <si>
    <t>A''</t>
  </si>
  <si>
    <r>
      <t>x</t>
    </r>
    <r>
      <rPr>
        <b/>
        <vertAlign val="subscript"/>
        <sz val="10"/>
        <rFont val="Futura Lt BT"/>
        <family val="2"/>
      </rPr>
      <t>g</t>
    </r>
    <r>
      <rPr>
        <b/>
        <sz val="10"/>
        <rFont val="Futura Lt BT"/>
        <family val="2"/>
      </rPr>
      <t xml:space="preserve"> </t>
    </r>
  </si>
  <si>
    <t>IPE 80</t>
  </si>
  <si>
    <t>IPE 100</t>
  </si>
  <si>
    <t>IPE 120</t>
  </si>
  <si>
    <t>IPE 140</t>
  </si>
  <si>
    <t>IPE 160</t>
  </si>
  <si>
    <t>IPE 180</t>
  </si>
  <si>
    <t>IPE 200</t>
  </si>
  <si>
    <t>IPE 220</t>
  </si>
  <si>
    <t>IPE 240</t>
  </si>
  <si>
    <t>IPE 270</t>
  </si>
  <si>
    <t>IPE 300</t>
  </si>
  <si>
    <t>IPE 330</t>
  </si>
  <si>
    <t>IPE 360</t>
  </si>
  <si>
    <t>IPE 400</t>
  </si>
  <si>
    <t>IPE 450</t>
  </si>
  <si>
    <t>IPE 500</t>
  </si>
  <si>
    <t>IPE 550</t>
  </si>
  <si>
    <t>IPE 600</t>
  </si>
  <si>
    <t>HEA 100</t>
  </si>
  <si>
    <t>HEA 120</t>
  </si>
  <si>
    <t>HEA 140</t>
  </si>
  <si>
    <t>HEA 160</t>
  </si>
  <si>
    <t>HEA 180</t>
  </si>
  <si>
    <t>HEA 200</t>
  </si>
  <si>
    <t>HEA 220</t>
  </si>
  <si>
    <t>HEA 240</t>
  </si>
  <si>
    <t>HEA 260</t>
  </si>
  <si>
    <t>HEA 280</t>
  </si>
  <si>
    <t>HEA 300</t>
  </si>
  <si>
    <t>HEA 320</t>
  </si>
  <si>
    <t>HEA 340</t>
  </si>
  <si>
    <t>HEA 360</t>
  </si>
  <si>
    <t>HEA 400</t>
  </si>
  <si>
    <t>HEA 450</t>
  </si>
  <si>
    <t>HEA 500</t>
  </si>
  <si>
    <t>HEA 550</t>
  </si>
  <si>
    <t>HEA 600</t>
  </si>
  <si>
    <t>HEA 650</t>
  </si>
  <si>
    <t>HEA 700</t>
  </si>
  <si>
    <t>HEA 800</t>
  </si>
  <si>
    <t>HEA 900</t>
  </si>
  <si>
    <t>HEA1000</t>
  </si>
  <si>
    <t>HEB 100</t>
  </si>
  <si>
    <t>HEB 120</t>
  </si>
  <si>
    <t>HEB 140</t>
  </si>
  <si>
    <t>HEB 160</t>
  </si>
  <si>
    <t>HEB 180</t>
  </si>
  <si>
    <t>HEB 200</t>
  </si>
  <si>
    <t>HEB 220</t>
  </si>
  <si>
    <t>HEB 240</t>
  </si>
  <si>
    <t>HEB 260</t>
  </si>
  <si>
    <t>HEB 280</t>
  </si>
  <si>
    <t>HEB 300</t>
  </si>
  <si>
    <t>HEB 320</t>
  </si>
  <si>
    <t>HEB 340</t>
  </si>
  <si>
    <t>HEB 360</t>
  </si>
  <si>
    <t>HEB 400</t>
  </si>
  <si>
    <t>HEB 450</t>
  </si>
  <si>
    <t>HEB 500</t>
  </si>
  <si>
    <t>HEB 550</t>
  </si>
  <si>
    <t>HEB 600</t>
  </si>
  <si>
    <t>HEB 650</t>
  </si>
  <si>
    <t>HEB 700</t>
  </si>
  <si>
    <t>HEB 800</t>
  </si>
  <si>
    <t>HEB 900</t>
  </si>
  <si>
    <t>HEB1000</t>
  </si>
  <si>
    <t>HEM 100</t>
  </si>
  <si>
    <t>HEM 120</t>
  </si>
  <si>
    <t>HEM 140</t>
  </si>
  <si>
    <t>HEM 160</t>
  </si>
  <si>
    <t>HEM 180</t>
  </si>
  <si>
    <t>HEM 200</t>
  </si>
  <si>
    <t>HEM 220</t>
  </si>
  <si>
    <t>HEM 240</t>
  </si>
  <si>
    <t>HEM 260</t>
  </si>
  <si>
    <t>HEM 280</t>
  </si>
  <si>
    <t>HEM 300</t>
  </si>
  <si>
    <t>HEM 320</t>
  </si>
  <si>
    <t>HEM 340</t>
  </si>
  <si>
    <t>HEM 360</t>
  </si>
  <si>
    <t>HEM 400</t>
  </si>
  <si>
    <t>HEM 450</t>
  </si>
  <si>
    <t>HEM 500</t>
  </si>
  <si>
    <t>HEM 550</t>
  </si>
  <si>
    <t>HEM 600</t>
  </si>
  <si>
    <t>HEM 650</t>
  </si>
  <si>
    <t>HEM 700</t>
  </si>
  <si>
    <t>HEM 800</t>
  </si>
  <si>
    <t>HEM 900</t>
  </si>
  <si>
    <t>HEM1000</t>
  </si>
  <si>
    <t>Luce netta dell'architrave:</t>
  </si>
  <si>
    <t>L =</t>
  </si>
  <si>
    <t>[mm]</t>
  </si>
  <si>
    <t>Luce di calcolo dell'architrave:</t>
  </si>
  <si>
    <t>b = 1,05 * L =</t>
  </si>
  <si>
    <t>Altezza del triangolo di carico:</t>
  </si>
  <si>
    <t>A =</t>
  </si>
  <si>
    <t>Spessore della muratura sopra l'architrave:</t>
  </si>
  <si>
    <t>t =</t>
  </si>
  <si>
    <t>hq =</t>
  </si>
  <si>
    <t>b' =</t>
  </si>
  <si>
    <t>Carichi permanenti strutturali agenti sul solaio:</t>
  </si>
  <si>
    <r>
      <t>[kN/m</t>
    </r>
    <r>
      <rPr>
        <vertAlign val="superscript"/>
        <sz val="11"/>
        <color indexed="8"/>
        <rFont val="Calibri"/>
        <family val="2"/>
      </rPr>
      <t>2</t>
    </r>
    <r>
      <rPr>
        <sz val="11"/>
        <color theme="1"/>
        <rFont val="Calibri"/>
        <family val="2"/>
        <scheme val="minor"/>
      </rPr>
      <t>]</t>
    </r>
  </si>
  <si>
    <t>Carichi permanenti non strutturali agenti sul solaio:</t>
  </si>
  <si>
    <t>Carichi accidentali agenti sul solaio:</t>
  </si>
  <si>
    <t>Carico da neve:</t>
  </si>
  <si>
    <t>Luce totale del solaio:</t>
  </si>
  <si>
    <r>
      <t>[kN/m</t>
    </r>
    <r>
      <rPr>
        <sz val="11"/>
        <color theme="1"/>
        <rFont val="Calibri"/>
        <family val="2"/>
        <scheme val="minor"/>
      </rPr>
      <t>]</t>
    </r>
  </si>
  <si>
    <t>Carico trasmesso dal solaio sull'architrave:</t>
  </si>
  <si>
    <r>
      <t>F</t>
    </r>
    <r>
      <rPr>
        <vertAlign val="subscript"/>
        <sz val="11"/>
        <color indexed="8"/>
        <rFont val="Calibri"/>
        <family val="2"/>
      </rPr>
      <t>d</t>
    </r>
    <r>
      <rPr>
        <sz val="11"/>
        <color theme="1"/>
        <rFont val="Calibri"/>
        <family val="2"/>
        <scheme val="minor"/>
      </rPr>
      <t xml:space="preserve"> * b' / b =</t>
    </r>
  </si>
  <si>
    <t>Carico trasmesso dalla muratura:</t>
  </si>
  <si>
    <r>
      <t>F</t>
    </r>
    <r>
      <rPr>
        <vertAlign val="subscript"/>
        <sz val="11"/>
        <color indexed="8"/>
        <rFont val="Calibri"/>
        <family val="2"/>
      </rPr>
      <t>m</t>
    </r>
    <r>
      <rPr>
        <sz val="11"/>
        <color theme="1"/>
        <rFont val="Calibri"/>
        <family val="2"/>
        <scheme val="minor"/>
      </rPr>
      <t xml:space="preserve"> = </t>
    </r>
    <r>
      <rPr>
        <sz val="11"/>
        <color indexed="8"/>
        <rFont val="Calibri"/>
        <family val="2"/>
      </rPr>
      <t>γ</t>
    </r>
    <r>
      <rPr>
        <vertAlign val="subscript"/>
        <sz val="11"/>
        <color indexed="8"/>
        <rFont val="Calibri"/>
        <family val="2"/>
      </rPr>
      <t>g1</t>
    </r>
    <r>
      <rPr>
        <sz val="11"/>
        <color indexed="8"/>
        <rFont val="Calibri"/>
        <family val="2"/>
      </rPr>
      <t xml:space="preserve"> * w * t * A =</t>
    </r>
  </si>
  <si>
    <t>w =</t>
  </si>
  <si>
    <r>
      <t>[kN/m</t>
    </r>
    <r>
      <rPr>
        <vertAlign val="superscript"/>
        <sz val="11"/>
        <color indexed="8"/>
        <rFont val="Calibri"/>
        <family val="2"/>
      </rPr>
      <t>3</t>
    </r>
    <r>
      <rPr>
        <sz val="11"/>
        <color theme="1"/>
        <rFont val="Calibri"/>
        <family val="2"/>
        <scheme val="minor"/>
      </rPr>
      <t>]</t>
    </r>
  </si>
  <si>
    <t>Tipo di profilato</t>
  </si>
  <si>
    <t>Altezza della sezione trasversale</t>
  </si>
  <si>
    <t>Larghezza della sezione trasversale</t>
  </si>
  <si>
    <t>Spessore dell'anima</t>
  </si>
  <si>
    <t>Spessore delle ali</t>
  </si>
  <si>
    <t>Raggio di raccordo</t>
  </si>
  <si>
    <t>CARATTERISTICHE MECCANICHE</t>
  </si>
  <si>
    <t>Altezza tra le ali</t>
  </si>
  <si>
    <t>Area della sezione trasversale</t>
  </si>
  <si>
    <r>
      <t>[cm</t>
    </r>
    <r>
      <rPr>
        <vertAlign val="superscript"/>
        <sz val="11"/>
        <color indexed="8"/>
        <rFont val="Calibri"/>
        <family val="2"/>
      </rPr>
      <t>2</t>
    </r>
    <r>
      <rPr>
        <sz val="11"/>
        <color theme="1"/>
        <rFont val="Calibri"/>
        <family val="2"/>
        <scheme val="minor"/>
      </rPr>
      <t>]</t>
    </r>
  </si>
  <si>
    <t>Area della sezione resistente a taglio agente lungo z</t>
  </si>
  <si>
    <t>Area della sezione resistente a taglio agente lungo y</t>
  </si>
  <si>
    <t>Momento d'inerzia attorno all'asse forte</t>
  </si>
  <si>
    <r>
      <t>[cm</t>
    </r>
    <r>
      <rPr>
        <vertAlign val="superscript"/>
        <sz val="11"/>
        <color indexed="8"/>
        <rFont val="Calibri"/>
        <family val="2"/>
      </rPr>
      <t>4</t>
    </r>
    <r>
      <rPr>
        <sz val="11"/>
        <color theme="1"/>
        <rFont val="Calibri"/>
        <family val="2"/>
        <scheme val="minor"/>
      </rPr>
      <t>]</t>
    </r>
  </si>
  <si>
    <t>Momento d'inerzia attorno all'asse debole</t>
  </si>
  <si>
    <t>Modulo di resistenza elastico attorno all'asse forte</t>
  </si>
  <si>
    <r>
      <t>[cm</t>
    </r>
    <r>
      <rPr>
        <vertAlign val="superscript"/>
        <sz val="11"/>
        <color indexed="8"/>
        <rFont val="Calibri"/>
        <family val="2"/>
      </rPr>
      <t>3</t>
    </r>
    <r>
      <rPr>
        <sz val="11"/>
        <color theme="1"/>
        <rFont val="Calibri"/>
        <family val="2"/>
        <scheme val="minor"/>
      </rPr>
      <t>]</t>
    </r>
  </si>
  <si>
    <t>Modulo di resistenza elastico attorno all'asse debole</t>
  </si>
  <si>
    <t>Modulo di resistenza plastico attorno all'asse forte</t>
  </si>
  <si>
    <t>Modulo di resistenza plastico attorno all'asse debole</t>
  </si>
  <si>
    <t>Peso a metro lineare</t>
  </si>
  <si>
    <t>CLASSIFICAZIONE DELLA SEZIONE</t>
  </si>
  <si>
    <t>Valore di snervamento dell'acciaio</t>
  </si>
  <si>
    <t>[MPa]</t>
  </si>
  <si>
    <t>Tipo di acciaio</t>
  </si>
  <si>
    <r>
      <t xml:space="preserve">Coefficiente </t>
    </r>
    <r>
      <rPr>
        <sz val="10"/>
        <color indexed="8"/>
        <rFont val="Calibri"/>
        <family val="2"/>
      </rPr>
      <t>ε</t>
    </r>
  </si>
  <si>
    <t xml:space="preserve">Classificazione dell'anima </t>
  </si>
  <si>
    <t>Rapporto tra altezza e spessore</t>
  </si>
  <si>
    <t>Classificazione dell'anima per flessione</t>
  </si>
  <si>
    <t>Classificazione delle ali</t>
  </si>
  <si>
    <t>Rapporto tra semi larghezza e spessore</t>
  </si>
  <si>
    <t>Classificazione delle ali per flessione</t>
  </si>
  <si>
    <r>
      <t>M</t>
    </r>
    <r>
      <rPr>
        <vertAlign val="subscript"/>
        <sz val="11"/>
        <color indexed="8"/>
        <rFont val="Calibri"/>
        <family val="2"/>
      </rPr>
      <t>max</t>
    </r>
    <r>
      <rPr>
        <vertAlign val="superscript"/>
        <sz val="11"/>
        <color indexed="8"/>
        <rFont val="Calibri"/>
        <family val="2"/>
      </rPr>
      <t>'</t>
    </r>
    <r>
      <rPr>
        <sz val="11"/>
        <color theme="1"/>
        <rFont val="Calibri"/>
        <family val="2"/>
        <scheme val="minor"/>
      </rPr>
      <t xml:space="preserve"> = F</t>
    </r>
    <r>
      <rPr>
        <vertAlign val="subscript"/>
        <sz val="11"/>
        <color indexed="8"/>
        <rFont val="Calibri"/>
        <family val="2"/>
      </rPr>
      <t>d</t>
    </r>
    <r>
      <rPr>
        <sz val="11"/>
        <color theme="1"/>
        <rFont val="Calibri"/>
        <family val="2"/>
        <scheme val="minor"/>
      </rPr>
      <t xml:space="preserve"> * b</t>
    </r>
    <r>
      <rPr>
        <vertAlign val="superscript"/>
        <sz val="11"/>
        <color indexed="8"/>
        <rFont val="Calibri"/>
        <family val="2"/>
      </rPr>
      <t>2</t>
    </r>
    <r>
      <rPr>
        <sz val="11"/>
        <color theme="1"/>
        <rFont val="Calibri"/>
        <family val="2"/>
        <scheme val="minor"/>
      </rPr>
      <t xml:space="preserve"> / 8 + p * b</t>
    </r>
    <r>
      <rPr>
        <vertAlign val="superscript"/>
        <sz val="11"/>
        <color indexed="8"/>
        <rFont val="Calibri"/>
        <family val="2"/>
      </rPr>
      <t>2</t>
    </r>
    <r>
      <rPr>
        <sz val="11"/>
        <color theme="1"/>
        <rFont val="Calibri"/>
        <family val="2"/>
        <scheme val="minor"/>
      </rPr>
      <t xml:space="preserve"> / 8 + F</t>
    </r>
    <r>
      <rPr>
        <vertAlign val="subscript"/>
        <sz val="11"/>
        <color indexed="8"/>
        <rFont val="Calibri"/>
        <family val="2"/>
      </rPr>
      <t>m</t>
    </r>
    <r>
      <rPr>
        <sz val="11"/>
        <color theme="1"/>
        <rFont val="Calibri"/>
        <family val="2"/>
        <scheme val="minor"/>
      </rPr>
      <t xml:space="preserve"> * b</t>
    </r>
    <r>
      <rPr>
        <vertAlign val="superscript"/>
        <sz val="11"/>
        <color indexed="8"/>
        <rFont val="Calibri"/>
        <family val="2"/>
      </rPr>
      <t>2</t>
    </r>
    <r>
      <rPr>
        <sz val="11"/>
        <color theme="1"/>
        <rFont val="Calibri"/>
        <family val="2"/>
        <scheme val="minor"/>
      </rPr>
      <t xml:space="preserve"> / 12 =</t>
    </r>
  </si>
  <si>
    <t>[kN m]</t>
  </si>
  <si>
    <t>[kN]</t>
  </si>
  <si>
    <t>Numero di profili utilizzati per l'architrave:</t>
  </si>
  <si>
    <t>n =</t>
  </si>
  <si>
    <r>
      <t>M</t>
    </r>
    <r>
      <rPr>
        <vertAlign val="subscript"/>
        <sz val="11"/>
        <color indexed="8"/>
        <rFont val="Calibri"/>
        <family val="2"/>
      </rPr>
      <t>max</t>
    </r>
    <r>
      <rPr>
        <sz val="11"/>
        <color theme="1"/>
        <rFont val="Calibri"/>
        <family val="2"/>
        <scheme val="minor"/>
      </rPr>
      <t xml:space="preserve"> = M'</t>
    </r>
    <r>
      <rPr>
        <vertAlign val="subscript"/>
        <sz val="11"/>
        <color indexed="8"/>
        <rFont val="Calibri"/>
        <family val="2"/>
      </rPr>
      <t>max</t>
    </r>
    <r>
      <rPr>
        <sz val="11"/>
        <color theme="1"/>
        <rFont val="Calibri"/>
        <family val="2"/>
        <scheme val="minor"/>
      </rPr>
      <t xml:space="preserve"> / n =</t>
    </r>
  </si>
  <si>
    <t>Verifica a flessione monoassiale (NTC 4.2.4.1.2)</t>
  </si>
  <si>
    <r>
      <t>M</t>
    </r>
    <r>
      <rPr>
        <vertAlign val="subscript"/>
        <sz val="11"/>
        <color indexed="8"/>
        <rFont val="Calibri"/>
        <family val="2"/>
      </rPr>
      <t>c,Rd</t>
    </r>
    <r>
      <rPr>
        <sz val="11"/>
        <color theme="1"/>
        <rFont val="Calibri"/>
        <family val="2"/>
        <scheme val="minor"/>
      </rPr>
      <t xml:space="preserve"> = W</t>
    </r>
    <r>
      <rPr>
        <vertAlign val="subscript"/>
        <sz val="11"/>
        <color indexed="8"/>
        <rFont val="Calibri"/>
        <family val="2"/>
      </rPr>
      <t>pl</t>
    </r>
    <r>
      <rPr>
        <sz val="11"/>
        <color theme="1"/>
        <rFont val="Calibri"/>
        <family val="2"/>
        <scheme val="minor"/>
      </rPr>
      <t xml:space="preserve"> * f</t>
    </r>
    <r>
      <rPr>
        <vertAlign val="subscript"/>
        <sz val="11"/>
        <color indexed="8"/>
        <rFont val="Calibri"/>
        <family val="2"/>
      </rPr>
      <t>yk</t>
    </r>
    <r>
      <rPr>
        <sz val="11"/>
        <color theme="1"/>
        <rFont val="Calibri"/>
        <family val="2"/>
        <scheme val="minor"/>
      </rPr>
      <t xml:space="preserve"> / </t>
    </r>
    <r>
      <rPr>
        <sz val="11"/>
        <color indexed="8"/>
        <rFont val="Calibri"/>
        <family val="2"/>
      </rPr>
      <t>γ</t>
    </r>
    <r>
      <rPr>
        <vertAlign val="subscript"/>
        <sz val="11"/>
        <color indexed="8"/>
        <rFont val="Calibri"/>
        <family val="2"/>
      </rPr>
      <t>M0</t>
    </r>
  </si>
  <si>
    <r>
      <t>M</t>
    </r>
    <r>
      <rPr>
        <vertAlign val="subscript"/>
        <sz val="11"/>
        <color indexed="8"/>
        <rFont val="Calibri"/>
        <family val="2"/>
      </rPr>
      <t>c,Rd</t>
    </r>
    <r>
      <rPr>
        <sz val="11"/>
        <color theme="1"/>
        <rFont val="Calibri"/>
        <family val="2"/>
        <scheme val="minor"/>
      </rPr>
      <t xml:space="preserve"> = W</t>
    </r>
    <r>
      <rPr>
        <vertAlign val="subscript"/>
        <sz val="11"/>
        <color indexed="8"/>
        <rFont val="Calibri"/>
        <family val="2"/>
      </rPr>
      <t>el,min</t>
    </r>
    <r>
      <rPr>
        <sz val="11"/>
        <color theme="1"/>
        <rFont val="Calibri"/>
        <family val="2"/>
        <scheme val="minor"/>
      </rPr>
      <t xml:space="preserve"> * f</t>
    </r>
    <r>
      <rPr>
        <vertAlign val="subscript"/>
        <sz val="11"/>
        <color indexed="8"/>
        <rFont val="Calibri"/>
        <family val="2"/>
      </rPr>
      <t>yk</t>
    </r>
    <r>
      <rPr>
        <sz val="11"/>
        <color theme="1"/>
        <rFont val="Calibri"/>
        <family val="2"/>
        <scheme val="minor"/>
      </rPr>
      <t xml:space="preserve"> / </t>
    </r>
    <r>
      <rPr>
        <sz val="11"/>
        <color indexed="8"/>
        <rFont val="Calibri"/>
        <family val="2"/>
      </rPr>
      <t>γ</t>
    </r>
    <r>
      <rPr>
        <vertAlign val="subscript"/>
        <sz val="11"/>
        <color indexed="8"/>
        <rFont val="Calibri"/>
        <family val="2"/>
      </rPr>
      <t>M0</t>
    </r>
  </si>
  <si>
    <r>
      <t>M</t>
    </r>
    <r>
      <rPr>
        <vertAlign val="subscript"/>
        <sz val="11"/>
        <color indexed="8"/>
        <rFont val="Calibri"/>
        <family val="2"/>
      </rPr>
      <t>c,Rd</t>
    </r>
    <r>
      <rPr>
        <sz val="11"/>
        <color theme="1"/>
        <rFont val="Calibri"/>
        <family val="2"/>
        <scheme val="minor"/>
      </rPr>
      <t xml:space="preserve"> = </t>
    </r>
  </si>
  <si>
    <t>Verifica a taglio (NTC 4.2.4.1.2)</t>
  </si>
  <si>
    <r>
      <t>V</t>
    </r>
    <r>
      <rPr>
        <vertAlign val="subscript"/>
        <sz val="11"/>
        <color indexed="8"/>
        <rFont val="Calibri"/>
        <family val="2"/>
      </rPr>
      <t>c,Rd</t>
    </r>
    <r>
      <rPr>
        <sz val="11"/>
        <color theme="1"/>
        <rFont val="Calibri"/>
        <family val="2"/>
        <scheme val="minor"/>
      </rPr>
      <t xml:space="preserve"> = A</t>
    </r>
    <r>
      <rPr>
        <vertAlign val="subscript"/>
        <sz val="11"/>
        <color indexed="8"/>
        <rFont val="Calibri"/>
        <family val="2"/>
      </rPr>
      <t>v</t>
    </r>
    <r>
      <rPr>
        <sz val="11"/>
        <color theme="1"/>
        <rFont val="Calibri"/>
        <family val="2"/>
        <scheme val="minor"/>
      </rPr>
      <t xml:space="preserve"> * f</t>
    </r>
    <r>
      <rPr>
        <vertAlign val="subscript"/>
        <sz val="11"/>
        <color indexed="8"/>
        <rFont val="Calibri"/>
        <family val="2"/>
      </rPr>
      <t>yk</t>
    </r>
    <r>
      <rPr>
        <sz val="11"/>
        <color theme="1"/>
        <rFont val="Calibri"/>
        <family val="2"/>
        <scheme val="minor"/>
      </rPr>
      <t xml:space="preserve"> / </t>
    </r>
    <r>
      <rPr>
        <sz val="11"/>
        <color indexed="8"/>
        <rFont val="Calibri"/>
        <family val="2"/>
      </rPr>
      <t>γ</t>
    </r>
    <r>
      <rPr>
        <vertAlign val="subscript"/>
        <sz val="11"/>
        <color indexed="8"/>
        <rFont val="Calibri"/>
        <family val="2"/>
      </rPr>
      <t xml:space="preserve">M0 </t>
    </r>
    <r>
      <rPr>
        <sz val="11"/>
        <color indexed="8"/>
        <rFont val="Calibri"/>
        <family val="2"/>
      </rPr>
      <t>/ (3</t>
    </r>
    <r>
      <rPr>
        <vertAlign val="superscript"/>
        <sz val="11"/>
        <color indexed="8"/>
        <rFont val="Calibri"/>
        <family val="2"/>
      </rPr>
      <t>0,5</t>
    </r>
    <r>
      <rPr>
        <sz val="11"/>
        <color indexed="8"/>
        <rFont val="Calibri"/>
        <family val="2"/>
      </rPr>
      <t>) =</t>
    </r>
  </si>
  <si>
    <r>
      <t>F</t>
    </r>
    <r>
      <rPr>
        <vertAlign val="subscript"/>
        <sz val="11"/>
        <color indexed="8"/>
        <rFont val="Calibri"/>
        <family val="2"/>
      </rPr>
      <t>m</t>
    </r>
    <r>
      <rPr>
        <sz val="11"/>
        <color theme="1"/>
        <rFont val="Calibri"/>
        <family val="2"/>
        <scheme val="minor"/>
      </rPr>
      <t xml:space="preserve"> = w * A * t =</t>
    </r>
  </si>
  <si>
    <r>
      <t>F</t>
    </r>
    <r>
      <rPr>
        <vertAlign val="subscript"/>
        <sz val="11"/>
        <color indexed="8"/>
        <rFont val="Calibri"/>
        <family val="2"/>
      </rPr>
      <t>d</t>
    </r>
    <r>
      <rPr>
        <sz val="11"/>
        <color theme="1"/>
        <rFont val="Calibri"/>
        <family val="2"/>
        <scheme val="minor"/>
      </rPr>
      <t xml:space="preserve"> = (G</t>
    </r>
    <r>
      <rPr>
        <vertAlign val="subscript"/>
        <sz val="11"/>
        <color indexed="8"/>
        <rFont val="Calibri"/>
        <family val="2"/>
      </rPr>
      <t>1k</t>
    </r>
    <r>
      <rPr>
        <sz val="11"/>
        <color theme="1"/>
        <rFont val="Calibri"/>
        <family val="2"/>
        <scheme val="minor"/>
      </rPr>
      <t xml:space="preserve"> + G</t>
    </r>
    <r>
      <rPr>
        <vertAlign val="subscript"/>
        <sz val="11"/>
        <color indexed="8"/>
        <rFont val="Calibri"/>
        <family val="2"/>
      </rPr>
      <t>2k</t>
    </r>
    <r>
      <rPr>
        <sz val="11"/>
        <color theme="1"/>
        <rFont val="Calibri"/>
        <family val="2"/>
        <scheme val="minor"/>
      </rPr>
      <t xml:space="preserve"> + Q</t>
    </r>
    <r>
      <rPr>
        <vertAlign val="subscript"/>
        <sz val="11"/>
        <color indexed="8"/>
        <rFont val="Calibri"/>
        <family val="2"/>
      </rPr>
      <t>k</t>
    </r>
    <r>
      <rPr>
        <sz val="11"/>
        <color theme="1"/>
        <rFont val="Calibri"/>
        <family val="2"/>
        <scheme val="minor"/>
      </rPr>
      <t>) * i =</t>
    </r>
  </si>
  <si>
    <r>
      <t>f</t>
    </r>
    <r>
      <rPr>
        <vertAlign val="subscript"/>
        <sz val="11"/>
        <color indexed="8"/>
        <rFont val="Calibri"/>
        <family val="2"/>
      </rPr>
      <t>m</t>
    </r>
    <r>
      <rPr>
        <sz val="11"/>
        <color theme="1"/>
        <rFont val="Calibri"/>
        <family val="2"/>
        <scheme val="minor"/>
      </rPr>
      <t xml:space="preserve"> = b</t>
    </r>
    <r>
      <rPr>
        <vertAlign val="superscript"/>
        <sz val="11"/>
        <color indexed="8"/>
        <rFont val="Calibri"/>
        <family val="2"/>
      </rPr>
      <t>4</t>
    </r>
    <r>
      <rPr>
        <sz val="11"/>
        <color theme="1"/>
        <rFont val="Calibri"/>
        <family val="2"/>
        <scheme val="minor"/>
      </rPr>
      <t xml:space="preserve"> / nEJ * (5 * F</t>
    </r>
    <r>
      <rPr>
        <vertAlign val="subscript"/>
        <sz val="11"/>
        <color indexed="8"/>
        <rFont val="Calibri"/>
        <family val="2"/>
      </rPr>
      <t>d</t>
    </r>
    <r>
      <rPr>
        <sz val="11"/>
        <color theme="1"/>
        <rFont val="Calibri"/>
        <family val="2"/>
        <scheme val="minor"/>
      </rPr>
      <t xml:space="preserve"> / 384 + F</t>
    </r>
    <r>
      <rPr>
        <vertAlign val="subscript"/>
        <sz val="11"/>
        <color indexed="8"/>
        <rFont val="Calibri"/>
        <family val="2"/>
      </rPr>
      <t>m</t>
    </r>
    <r>
      <rPr>
        <sz val="11"/>
        <color theme="1"/>
        <rFont val="Calibri"/>
        <family val="2"/>
        <scheme val="minor"/>
      </rPr>
      <t xml:space="preserve"> / 120) =</t>
    </r>
  </si>
  <si>
    <t>E =</t>
  </si>
  <si>
    <t>Ac è l'area di appoggio;</t>
  </si>
  <si>
    <r>
      <t>γ</t>
    </r>
    <r>
      <rPr>
        <vertAlign val="subscript"/>
        <sz val="11"/>
        <color indexed="8"/>
        <rFont val="Calibri"/>
        <family val="2"/>
      </rPr>
      <t xml:space="preserve">M </t>
    </r>
    <r>
      <rPr>
        <sz val="11"/>
        <color indexed="8"/>
        <rFont val="Calibri"/>
        <family val="2"/>
      </rPr>
      <t>=</t>
    </r>
  </si>
  <si>
    <t>Ac = b * l =</t>
  </si>
  <si>
    <r>
      <t>[mm</t>
    </r>
    <r>
      <rPr>
        <vertAlign val="superscript"/>
        <sz val="11"/>
        <color indexed="8"/>
        <rFont val="Calibri"/>
        <family val="2"/>
      </rPr>
      <t>2</t>
    </r>
    <r>
      <rPr>
        <sz val="11"/>
        <color theme="1"/>
        <rFont val="Calibri"/>
        <family val="2"/>
        <scheme val="minor"/>
      </rPr>
      <t>]</t>
    </r>
  </si>
  <si>
    <r>
      <t xml:space="preserve">fd = fm / FC / </t>
    </r>
    <r>
      <rPr>
        <sz val="11"/>
        <color indexed="8"/>
        <rFont val="Calibri"/>
        <family val="2"/>
      </rPr>
      <t>γ</t>
    </r>
    <r>
      <rPr>
        <vertAlign val="subscript"/>
        <sz val="11"/>
        <color indexed="8"/>
        <rFont val="Calibri"/>
        <family val="2"/>
      </rPr>
      <t>M</t>
    </r>
    <r>
      <rPr>
        <sz val="13.2"/>
        <color indexed="8"/>
        <rFont val="Calibri"/>
        <family val="2"/>
      </rPr>
      <t xml:space="preserve"> =</t>
    </r>
  </si>
  <si>
    <t>[Mpa]</t>
  </si>
  <si>
    <r>
      <t>N</t>
    </r>
    <r>
      <rPr>
        <vertAlign val="subscript"/>
        <sz val="11"/>
        <color indexed="8"/>
        <rFont val="Calibri"/>
        <family val="2"/>
      </rPr>
      <t>Rdc</t>
    </r>
    <r>
      <rPr>
        <sz val="11"/>
        <color theme="1"/>
        <rFont val="Calibri"/>
        <family val="2"/>
        <scheme val="minor"/>
      </rPr>
      <t xml:space="preserve"> = </t>
    </r>
    <r>
      <rPr>
        <sz val="11"/>
        <color indexed="8"/>
        <rFont val="Calibri"/>
        <family val="2"/>
      </rPr>
      <t>β</t>
    </r>
    <r>
      <rPr>
        <vertAlign val="subscript"/>
        <sz val="11"/>
        <color indexed="8"/>
        <rFont val="Calibri"/>
        <family val="2"/>
      </rPr>
      <t>c</t>
    </r>
    <r>
      <rPr>
        <sz val="11"/>
        <color indexed="8"/>
        <rFont val="Calibri"/>
        <family val="2"/>
      </rPr>
      <t xml:space="preserve"> * A</t>
    </r>
    <r>
      <rPr>
        <vertAlign val="subscript"/>
        <sz val="11"/>
        <color indexed="8"/>
        <rFont val="Calibri"/>
        <family val="2"/>
      </rPr>
      <t>c</t>
    </r>
    <r>
      <rPr>
        <sz val="11"/>
        <color indexed="8"/>
        <rFont val="Calibri"/>
        <family val="2"/>
      </rPr>
      <t xml:space="preserve"> * f</t>
    </r>
    <r>
      <rPr>
        <vertAlign val="subscript"/>
        <sz val="11"/>
        <color indexed="8"/>
        <rFont val="Calibri"/>
        <family val="2"/>
      </rPr>
      <t xml:space="preserve">d </t>
    </r>
    <r>
      <rPr>
        <sz val="11"/>
        <color indexed="8"/>
        <rFont val="Calibri"/>
        <family val="2"/>
      </rPr>
      <t>=</t>
    </r>
  </si>
  <si>
    <t>Cat. A: Ambienti ad uso residenziale</t>
  </si>
  <si>
    <t>Cat. B1: Uffici non aperti al pubblico</t>
  </si>
  <si>
    <t>Cat. B2: Uffici aperti al pubblico</t>
  </si>
  <si>
    <t>Cat. C1: Ospedali, ristoranti, caffè, banche e scuole</t>
  </si>
  <si>
    <t>Cat. C2: Balconi, ballatoi e scale comuni,…</t>
  </si>
  <si>
    <t>Cat. C3: Ambienti privi di ostacoli per il libero movimento delle persone</t>
  </si>
  <si>
    <t>Cat. D1: Negozi</t>
  </si>
  <si>
    <t>Cat. D2: Centri commerciali, mercati, grandi magazzini,…</t>
  </si>
  <si>
    <t>Cat. E1: Biblioteche, archivi, magazzini e depositi, laboratori,…</t>
  </si>
  <si>
    <t>Cat. H1: Coperture e sottotetti accessibili per sola manutenzione</t>
  </si>
  <si>
    <t>Neve (a quota &lt; 1000m s.l.m.)</t>
  </si>
  <si>
    <t>Neve (a quota &gt; 1000m s.l.m.)</t>
  </si>
  <si>
    <t>PSI 0j</t>
  </si>
  <si>
    <t>carichi</t>
  </si>
  <si>
    <t>Materiale</t>
  </si>
  <si>
    <t>S275 JR</t>
  </si>
  <si>
    <t>S355 JR</t>
  </si>
  <si>
    <t>S460 JR</t>
  </si>
  <si>
    <t>S235 JR</t>
  </si>
  <si>
    <t>CLASSE 1</t>
  </si>
  <si>
    <t>CLASSE 2</t>
  </si>
  <si>
    <t>CLASSE 3</t>
  </si>
  <si>
    <t>CLASSE 4</t>
  </si>
  <si>
    <t>MRD CLASSE 1-2</t>
  </si>
  <si>
    <t>MRD CLASSE 3</t>
  </si>
  <si>
    <t>MRD CLASSE 4</t>
  </si>
  <si>
    <r>
      <t>V</t>
    </r>
    <r>
      <rPr>
        <vertAlign val="subscript"/>
        <sz val="11"/>
        <color indexed="8"/>
        <rFont val="Calibri"/>
        <family val="2"/>
      </rPr>
      <t>max</t>
    </r>
    <r>
      <rPr>
        <vertAlign val="superscript"/>
        <sz val="11"/>
        <color indexed="8"/>
        <rFont val="Calibri"/>
        <family val="2"/>
      </rPr>
      <t>'</t>
    </r>
    <r>
      <rPr>
        <sz val="11"/>
        <color theme="1"/>
        <rFont val="Calibri"/>
        <family val="2"/>
        <scheme val="minor"/>
      </rPr>
      <t xml:space="preserve"> = F</t>
    </r>
    <r>
      <rPr>
        <vertAlign val="subscript"/>
        <sz val="11"/>
        <color indexed="8"/>
        <rFont val="Calibri"/>
        <family val="2"/>
      </rPr>
      <t>d</t>
    </r>
    <r>
      <rPr>
        <sz val="11"/>
        <color theme="1"/>
        <rFont val="Calibri"/>
        <family val="2"/>
        <scheme val="minor"/>
      </rPr>
      <t xml:space="preserve"> * b / 2 + p * b / 2 + F</t>
    </r>
    <r>
      <rPr>
        <vertAlign val="subscript"/>
        <sz val="11"/>
        <color indexed="8"/>
        <rFont val="Calibri"/>
        <family val="2"/>
      </rPr>
      <t>m</t>
    </r>
    <r>
      <rPr>
        <sz val="11"/>
        <color theme="1"/>
        <rFont val="Calibri"/>
        <family val="2"/>
        <scheme val="minor"/>
      </rPr>
      <t xml:space="preserve"> * b / 4 =</t>
    </r>
  </si>
  <si>
    <r>
      <t>V</t>
    </r>
    <r>
      <rPr>
        <vertAlign val="subscript"/>
        <sz val="11"/>
        <color indexed="8"/>
        <rFont val="Calibri"/>
        <family val="2"/>
      </rPr>
      <t>max</t>
    </r>
    <r>
      <rPr>
        <sz val="11"/>
        <color theme="1"/>
        <rFont val="Calibri"/>
        <family val="2"/>
        <scheme val="minor"/>
      </rPr>
      <t xml:space="preserve"> =V'</t>
    </r>
    <r>
      <rPr>
        <vertAlign val="subscript"/>
        <sz val="11"/>
        <color indexed="8"/>
        <rFont val="Calibri"/>
        <family val="2"/>
      </rPr>
      <t>max</t>
    </r>
    <r>
      <rPr>
        <sz val="11"/>
        <color theme="1"/>
        <rFont val="Calibri"/>
        <family val="2"/>
        <scheme val="minor"/>
      </rPr>
      <t xml:space="preserve"> / n =</t>
    </r>
  </si>
  <si>
    <t>&lt; 1</t>
  </si>
  <si>
    <r>
      <t>V</t>
    </r>
    <r>
      <rPr>
        <b/>
        <vertAlign val="subscript"/>
        <sz val="11"/>
        <color indexed="8"/>
        <rFont val="Calibri"/>
        <family val="2"/>
      </rPr>
      <t>Ed</t>
    </r>
    <r>
      <rPr>
        <b/>
        <sz val="11"/>
        <color theme="1"/>
        <rFont val="Calibri"/>
        <family val="2"/>
        <scheme val="minor"/>
      </rPr>
      <t xml:space="preserve"> / V</t>
    </r>
    <r>
      <rPr>
        <b/>
        <vertAlign val="subscript"/>
        <sz val="11"/>
        <color indexed="8"/>
        <rFont val="Calibri"/>
        <family val="2"/>
      </rPr>
      <t>c,Rd</t>
    </r>
    <r>
      <rPr>
        <b/>
        <sz val="11"/>
        <color theme="1"/>
        <rFont val="Calibri"/>
        <family val="2"/>
        <scheme val="minor"/>
      </rPr>
      <t xml:space="preserve"> =</t>
    </r>
  </si>
  <si>
    <t>hq</t>
  </si>
  <si>
    <t>L</t>
  </si>
  <si>
    <t>S</t>
  </si>
  <si>
    <t>L,sol=</t>
  </si>
  <si>
    <t>i = L ,sol/ 2 =</t>
  </si>
  <si>
    <t>L,sol</t>
  </si>
  <si>
    <t>G1</t>
  </si>
  <si>
    <t>G2</t>
  </si>
  <si>
    <t xml:space="preserve">fm &lt; L / 500 </t>
  </si>
  <si>
    <t xml:space="preserve"> L / 500 =</t>
  </si>
  <si>
    <t>Verifica freccia</t>
  </si>
  <si>
    <t>Qk,neve</t>
  </si>
  <si>
    <t>CARATTERISTICHE DELL'ARCHITRAVE IN ACCIAIO</t>
  </si>
  <si>
    <r>
      <t>N</t>
    </r>
    <r>
      <rPr>
        <vertAlign val="subscript"/>
        <sz val="11"/>
        <color indexed="8"/>
        <rFont val="Calibri"/>
        <family val="2"/>
      </rPr>
      <t>dc</t>
    </r>
    <r>
      <rPr>
        <sz val="11"/>
        <color theme="1"/>
        <rFont val="Calibri"/>
        <family val="2"/>
        <scheme val="minor"/>
      </rPr>
      <t xml:space="preserve"> = V</t>
    </r>
    <r>
      <rPr>
        <vertAlign val="subscript"/>
        <sz val="11"/>
        <color indexed="8"/>
        <rFont val="Calibri"/>
        <family val="2"/>
      </rPr>
      <t>max</t>
    </r>
    <r>
      <rPr>
        <sz val="11"/>
        <color theme="1"/>
        <rFont val="Calibri"/>
        <family val="2"/>
        <scheme val="minor"/>
      </rPr>
      <t xml:space="preserve"> =</t>
    </r>
  </si>
  <si>
    <t>L,app =</t>
  </si>
  <si>
    <t>L,app</t>
  </si>
  <si>
    <t>Ndc / NRdc  =</t>
  </si>
  <si>
    <t>[kNm]</t>
  </si>
  <si>
    <t>Momento resistente del singolo profilo:</t>
  </si>
  <si>
    <t>Momento resistente dell'architrave completo:</t>
  </si>
  <si>
    <t>Verifica a flessione:</t>
  </si>
  <si>
    <r>
      <t>M</t>
    </r>
    <r>
      <rPr>
        <b/>
        <vertAlign val="subscript"/>
        <sz val="11"/>
        <color indexed="8"/>
        <rFont val="Calibri"/>
        <family val="2"/>
      </rPr>
      <t>Ed</t>
    </r>
    <r>
      <rPr>
        <b/>
        <sz val="11"/>
        <color theme="1"/>
        <rFont val="Calibri"/>
        <family val="2"/>
        <scheme val="minor"/>
      </rPr>
      <t xml:space="preserve"> / M</t>
    </r>
    <r>
      <rPr>
        <b/>
        <vertAlign val="subscript"/>
        <sz val="11"/>
        <color indexed="8"/>
        <rFont val="Calibri"/>
        <family val="2"/>
      </rPr>
      <t>c,Rd</t>
    </r>
    <r>
      <rPr>
        <b/>
        <sz val="11"/>
        <color theme="1"/>
        <rFont val="Calibri"/>
        <family val="2"/>
        <scheme val="minor"/>
      </rPr>
      <t xml:space="preserve"> =</t>
    </r>
  </si>
  <si>
    <t>Verifica a taglio:</t>
  </si>
  <si>
    <t>Verifica a carico concentrato:</t>
  </si>
  <si>
    <t>Distanza del solaio sovrastante l'architrave dall'architrave stesso:</t>
  </si>
  <si>
    <t>Luce del solaio sovrastante l'architrave, nel verso dell'orditura</t>
  </si>
  <si>
    <t>Definire il variabile dovuto all'affollamento:</t>
  </si>
  <si>
    <t>Definire il carico da neve:</t>
  </si>
  <si>
    <t>Definire appoggio dell'architrave sulla muratura esistente:</t>
  </si>
  <si>
    <t>ALTRI COEFFICIENTI DEFINITI DA UTENTE</t>
  </si>
  <si>
    <t>ARCHITRAVE IN ACCIAIO SU MURATURA ESISTENTE: DATI</t>
  </si>
  <si>
    <r>
      <t>G</t>
    </r>
    <r>
      <rPr>
        <vertAlign val="subscript"/>
        <sz val="11"/>
        <color indexed="8"/>
        <rFont val="Calibri"/>
        <family val="2"/>
      </rPr>
      <t>1</t>
    </r>
    <r>
      <rPr>
        <sz val="11"/>
        <color theme="1"/>
        <rFont val="Calibri"/>
        <family val="2"/>
        <scheme val="minor"/>
      </rPr>
      <t xml:space="preserve"> =</t>
    </r>
  </si>
  <si>
    <r>
      <t>G</t>
    </r>
    <r>
      <rPr>
        <vertAlign val="subscript"/>
        <sz val="11"/>
        <color indexed="8"/>
        <rFont val="Calibri"/>
        <family val="2"/>
      </rPr>
      <t>2</t>
    </r>
    <r>
      <rPr>
        <sz val="11"/>
        <color theme="1"/>
        <rFont val="Calibri"/>
        <family val="2"/>
        <scheme val="minor"/>
      </rPr>
      <t xml:space="preserve"> =</t>
    </r>
  </si>
  <si>
    <r>
      <t>Q</t>
    </r>
    <r>
      <rPr>
        <vertAlign val="subscript"/>
        <sz val="11"/>
        <color indexed="8"/>
        <rFont val="Calibri"/>
        <family val="2"/>
      </rPr>
      <t>k,folla</t>
    </r>
    <r>
      <rPr>
        <sz val="11"/>
        <color theme="1"/>
        <rFont val="Calibri"/>
        <family val="2"/>
        <scheme val="minor"/>
      </rPr>
      <t xml:space="preserve"> =</t>
    </r>
  </si>
  <si>
    <r>
      <t>Q</t>
    </r>
    <r>
      <rPr>
        <vertAlign val="subscript"/>
        <sz val="11"/>
        <color indexed="8"/>
        <rFont val="Calibri"/>
        <family val="2"/>
      </rPr>
      <t>k,neve</t>
    </r>
    <r>
      <rPr>
        <sz val="11"/>
        <color theme="1"/>
        <rFont val="Calibri"/>
        <family val="2"/>
        <scheme val="minor"/>
      </rPr>
      <t xml:space="preserve"> =</t>
    </r>
  </si>
  <si>
    <t>La resistenza di calcolo a taglio del singolo profilo vale:</t>
  </si>
  <si>
    <t>La resistenza di calcolo a taglio dell'architrave vale:</t>
  </si>
  <si>
    <r>
      <t>V</t>
    </r>
    <r>
      <rPr>
        <vertAlign val="subscript"/>
        <sz val="11"/>
        <color indexed="8"/>
        <rFont val="Calibri"/>
        <family val="2"/>
      </rPr>
      <t>c,Rd</t>
    </r>
    <r>
      <rPr>
        <sz val="11"/>
        <color theme="1"/>
        <rFont val="Calibri"/>
        <family val="2"/>
        <scheme val="minor"/>
      </rPr>
      <t xml:space="preserve"> = </t>
    </r>
    <r>
      <rPr>
        <sz val="11"/>
        <color theme="1"/>
        <rFont val="Calibri"/>
        <family val="2"/>
        <scheme val="minor"/>
      </rPr>
      <t/>
    </r>
  </si>
  <si>
    <t>Carico: peso proprio muratura</t>
  </si>
  <si>
    <t>Carico: solaio</t>
  </si>
  <si>
    <t>Calcolo della freccia elastica architrave</t>
  </si>
  <si>
    <t>limite freccia</t>
  </si>
  <si>
    <t>Modulo elastico acciaio</t>
  </si>
  <si>
    <t>CALCOLO DELL'ARCHITRAVE IN ACCIAIO SU MURATURA ESISTENTE</t>
  </si>
  <si>
    <t>consente il dimensionamento e la verifica dell'architrave</t>
  </si>
  <si>
    <t>CARATTERISTICHE MATERIALE MURATURA</t>
  </si>
  <si>
    <t>Le NTC al punto 4.5.6.2 Verifiche agli stati limite ultimi, suggerisce di effettuare le verifiche facendo riferimento a normative di compravata validità: Eurocodice 6, D.M. 14.09.2005. Di seguito viene condotta la verifica secondo il D.M. 14.09.2005, punto 5.4.6.2.4.</t>
  </si>
  <si>
    <t>βc è un coefficiente di amplificazione per carichi concentrati, valutato in funzione del tipo di muratura, a favore di sicurezza può essere considerato pari a 1;</t>
  </si>
  <si>
    <t>Lunghezza dell'appoggio</t>
  </si>
  <si>
    <t>VERIFICHE AGLI STATI LIMITE ULTIMI PER CARICHI CONCENTRATI</t>
  </si>
  <si>
    <t>VERIFICA DI DEFORMABILITA' DELL'ARCHITRAVE</t>
  </si>
  <si>
    <t>VERIFICA DI RESISTENZA</t>
  </si>
  <si>
    <t>ANALISI DEI CARICHI AGENTI SULL'ARCHITRAVE</t>
  </si>
  <si>
    <t>Interasse</t>
  </si>
  <si>
    <t>Momento statico asse baricentrico</t>
  </si>
  <si>
    <t>Altezza dell'anima depurata dei raccordi</t>
  </si>
  <si>
    <t>Semi larghezza delle ali depurata dei raccordi</t>
  </si>
  <si>
    <t xml:space="preserve"> Fd = i * (γg1 * G1k + γg2 * G2k + γq * Qk,folla) =</t>
  </si>
  <si>
    <t>Carico distribuito</t>
  </si>
  <si>
    <t>Larghezza di scarico del solaio</t>
  </si>
  <si>
    <t>Distanza del solaio sovrastante rispetto all'architrave:</t>
  </si>
  <si>
    <t>Momento flettente SLU:</t>
  </si>
  <si>
    <t>Taglio SLU:</t>
  </si>
  <si>
    <t>Resistenza di calcolo a flessione retta classe 1-2:</t>
  </si>
  <si>
    <t>Resistenza di calcolo a flessione retta classe 3:</t>
  </si>
  <si>
    <t>γM è il coef. di sicurezza della muratura</t>
  </si>
  <si>
    <t>fd è la resistenza di progetto della muratura:</t>
  </si>
  <si>
    <r>
      <t>N</t>
    </r>
    <r>
      <rPr>
        <vertAlign val="subscript"/>
        <sz val="11"/>
        <color indexed="8"/>
        <rFont val="Calibri"/>
        <family val="2"/>
      </rPr>
      <t>Rd</t>
    </r>
    <r>
      <rPr>
        <sz val="11"/>
        <color theme="1"/>
        <rFont val="Calibri"/>
        <family val="2"/>
        <scheme val="minor"/>
      </rPr>
      <t xml:space="preserve"> è la resistenza di progetto:</t>
    </r>
  </si>
  <si>
    <r>
      <t>N</t>
    </r>
    <r>
      <rPr>
        <vertAlign val="subscript"/>
        <sz val="11"/>
        <color indexed="8"/>
        <rFont val="Calibri"/>
        <family val="2"/>
      </rPr>
      <t>dc</t>
    </r>
    <r>
      <rPr>
        <sz val="11"/>
        <color theme="1"/>
        <rFont val="Calibri"/>
        <family val="2"/>
        <scheme val="minor"/>
      </rPr>
      <t xml:space="preserve"> è il valore di progetto del carico concentrato (taglio):</t>
    </r>
  </si>
  <si>
    <t>Per valutare i carichi agenti sull'architrave vengono seguite le indicazioni della norma DIN 1053 (dicembre 1952). Sostanzialmente il problema viene semplificato ipotizzando che sopra di esso si generi un effetto di volta scaricantesi ai lati, quindi si considerano gravanti solo il peso della porzione di muratura inclusa in un triangolo equilatero al di sopra dell'architrave avente per lato la luce dell'architrave stesso. I carichi uniformemente distribuiti, al di sopra del triangolo di carico, dovuti ad eventuali solai sono trascurati nel calcolo dell'architrave, mentre i carichi dei solai che agiscono all'interno del triangolo di carico si considerano solo per il tratto intercettato dal triangolo di carico. Se entro la luce della trave agiscono carichi concentrati essi dovranno essere considerati ammettendo una distribuzione del carico a 60°, anche se il loro punto d'applicazione è al di fuori del triangolo ma sia tuttavia al di sotto della linea orizzontale posta 25cm al di sopra della sommità del triangolo stesso. Dovrà essere inoltre aggiunto il peso della muratura.</t>
  </si>
  <si>
    <t>Per il calcolo delle sollecitazioni massime, l'architrave viene assimilato ad una trave semplicemente appoggiata caricata da un carico uniformemente distribuito, dato dalla somma del carico dovuto al solaio e quello dovuto al peso proprio del profilo utilizzato, e da un carico triangolare dovuto al peso proprio della muratura sovrastante.</t>
  </si>
  <si>
    <r>
      <t xml:space="preserve"> t</t>
    </r>
    <r>
      <rPr>
        <vertAlign val="subscript"/>
        <sz val="10"/>
        <rFont val="Century Gothic"/>
        <family val="2"/>
      </rPr>
      <t>w =</t>
    </r>
  </si>
  <si>
    <r>
      <t>t</t>
    </r>
    <r>
      <rPr>
        <vertAlign val="subscript"/>
        <sz val="10"/>
        <rFont val="Century Gothic"/>
        <family val="2"/>
      </rPr>
      <t>f =</t>
    </r>
  </si>
  <si>
    <t>r =</t>
  </si>
  <si>
    <r>
      <t>h</t>
    </r>
    <r>
      <rPr>
        <vertAlign val="subscript"/>
        <sz val="11"/>
        <color indexed="8"/>
        <rFont val="Calibri"/>
        <family val="2"/>
      </rPr>
      <t>i =</t>
    </r>
  </si>
  <si>
    <r>
      <t>A</t>
    </r>
    <r>
      <rPr>
        <vertAlign val="subscript"/>
        <sz val="11"/>
        <color indexed="8"/>
        <rFont val="Calibri"/>
        <family val="2"/>
      </rPr>
      <t>vz =</t>
    </r>
  </si>
  <si>
    <r>
      <t>A</t>
    </r>
    <r>
      <rPr>
        <vertAlign val="subscript"/>
        <sz val="11"/>
        <color indexed="8"/>
        <rFont val="Calibri"/>
        <family val="2"/>
      </rPr>
      <t>vy =</t>
    </r>
  </si>
  <si>
    <r>
      <t>I</t>
    </r>
    <r>
      <rPr>
        <vertAlign val="subscript"/>
        <sz val="11"/>
        <color indexed="8"/>
        <rFont val="Calibri"/>
        <family val="2"/>
      </rPr>
      <t>yy =</t>
    </r>
  </si>
  <si>
    <r>
      <t>I</t>
    </r>
    <r>
      <rPr>
        <vertAlign val="subscript"/>
        <sz val="11"/>
        <color indexed="8"/>
        <rFont val="Calibri"/>
        <family val="2"/>
      </rPr>
      <t>zz =</t>
    </r>
  </si>
  <si>
    <r>
      <t>W</t>
    </r>
    <r>
      <rPr>
        <vertAlign val="subscript"/>
        <sz val="11"/>
        <color indexed="8"/>
        <rFont val="Calibri"/>
        <family val="2"/>
      </rPr>
      <t>el,yy =</t>
    </r>
  </si>
  <si>
    <r>
      <t>W</t>
    </r>
    <r>
      <rPr>
        <vertAlign val="subscript"/>
        <sz val="11"/>
        <color indexed="8"/>
        <rFont val="Calibri"/>
        <family val="2"/>
      </rPr>
      <t>el,zz =</t>
    </r>
  </si>
  <si>
    <r>
      <t>W</t>
    </r>
    <r>
      <rPr>
        <vertAlign val="subscript"/>
        <sz val="11"/>
        <color indexed="8"/>
        <rFont val="Calibri"/>
        <family val="2"/>
      </rPr>
      <t>pl,yy =</t>
    </r>
  </si>
  <si>
    <r>
      <t>W</t>
    </r>
    <r>
      <rPr>
        <vertAlign val="subscript"/>
        <sz val="11"/>
        <color indexed="8"/>
        <rFont val="Calibri"/>
        <family val="2"/>
      </rPr>
      <t>pl,zz =</t>
    </r>
  </si>
  <si>
    <r>
      <t>S</t>
    </r>
    <r>
      <rPr>
        <vertAlign val="subscript"/>
        <sz val="11"/>
        <color indexed="8"/>
        <rFont val="Calibri"/>
        <family val="2"/>
      </rPr>
      <t>y =</t>
    </r>
  </si>
  <si>
    <t>p =</t>
  </si>
  <si>
    <r>
      <t>f</t>
    </r>
    <r>
      <rPr>
        <vertAlign val="subscript"/>
        <sz val="11"/>
        <color indexed="8"/>
        <rFont val="Calibri"/>
        <family val="2"/>
      </rPr>
      <t>y =</t>
    </r>
  </si>
  <si>
    <t>ε =</t>
  </si>
  <si>
    <t>c =</t>
  </si>
  <si>
    <r>
      <t>t</t>
    </r>
    <r>
      <rPr>
        <vertAlign val="subscript"/>
        <sz val="10"/>
        <rFont val="Century Gothic"/>
        <family val="2"/>
      </rPr>
      <t>w =</t>
    </r>
  </si>
  <si>
    <r>
      <t>c/t</t>
    </r>
    <r>
      <rPr>
        <vertAlign val="subscript"/>
        <sz val="10"/>
        <rFont val="Century Gothic"/>
        <family val="2"/>
      </rPr>
      <t>w =</t>
    </r>
  </si>
  <si>
    <r>
      <t>c/t</t>
    </r>
    <r>
      <rPr>
        <vertAlign val="subscript"/>
        <sz val="10"/>
        <rFont val="Century Gothic"/>
        <family val="2"/>
      </rPr>
      <t>f =</t>
    </r>
  </si>
  <si>
    <t xml:space="preserve">OSS: Per il ivello LC3 si considerano cautelativamente i valori medi delle caratterisitche </t>
  </si>
  <si>
    <t>meccaniche della muratura.</t>
  </si>
  <si>
    <t>stato di fatto</t>
  </si>
  <si>
    <t xml:space="preserve">Malta buona  (solo se la malta è &gt;2MPa) </t>
  </si>
  <si>
    <t>interventi di consolidamento</t>
  </si>
  <si>
    <t>Intonco Armato</t>
  </si>
  <si>
    <t>Ristilatura armata con connessione dei paramenti</t>
  </si>
  <si>
    <t>Diatoni artificiali o tirantini antiespulsivi</t>
  </si>
  <si>
    <t>COEFFICIENTE DA UTENTE</t>
  </si>
  <si>
    <r>
      <rPr>
        <sz val="11"/>
        <color indexed="8"/>
        <rFont val="Arial Narrow"/>
        <family val="2"/>
      </rPr>
      <t>fv0</t>
    </r>
    <r>
      <rPr>
        <sz val="11"/>
        <color theme="1"/>
        <rFont val="Calibri"/>
        <family val="2"/>
        <scheme val="minor"/>
      </rPr>
      <t xml:space="preserve"> (N/cm</t>
    </r>
    <r>
      <rPr>
        <vertAlign val="superscript"/>
        <sz val="11"/>
        <color indexed="8"/>
        <rFont val="Calibri"/>
        <family val="2"/>
      </rPr>
      <t>2</t>
    </r>
    <r>
      <rPr>
        <sz val="11"/>
        <color theme="1"/>
        <rFont val="Calibri"/>
        <family val="2"/>
        <scheme val="minor"/>
      </rPr>
      <t>)</t>
    </r>
  </si>
  <si>
    <t>CARATTERISTICHE DEI MATERIALI</t>
  </si>
  <si>
    <t>fv0 (N/cm2)</t>
  </si>
  <si>
    <t>Intonaco Armato</t>
  </si>
  <si>
    <t>Coefficiente Risultante</t>
  </si>
  <si>
    <t>Coefficiente massimo applicabile</t>
  </si>
  <si>
    <t>Resistenza media a taglio in assenza di tensioni normali</t>
  </si>
  <si>
    <t>fv0</t>
  </si>
  <si>
    <t>Resistenza di calcolo a taglio in assenza di tensioni normali</t>
  </si>
  <si>
    <t>fv0,d</t>
  </si>
  <si>
    <t>RISTILATURA</t>
  </si>
  <si>
    <t>DIATONI ART</t>
  </si>
  <si>
    <t>max</t>
  </si>
  <si>
    <t>Muratura a conci sbozzati, con paramenti di limitato spessore disomogeneo</t>
  </si>
  <si>
    <t xml:space="preserve">Muratura irregolare di pietra tenera </t>
  </si>
  <si>
    <t>Muratura a conci regolari di pietra tenera</t>
  </si>
  <si>
    <t>Muratura a blocchi lapidei squadrati</t>
  </si>
  <si>
    <t>Muratura in mattoni semipieni con malta cementizia (doppio UNI foratura&lt;40%)</t>
  </si>
  <si>
    <t>diatoni artificiali</t>
  </si>
  <si>
    <r>
      <t>fv0 (N/cm</t>
    </r>
    <r>
      <rPr>
        <vertAlign val="superscript"/>
        <sz val="11"/>
        <color indexed="8"/>
        <rFont val="Calibri"/>
        <family val="2"/>
      </rPr>
      <t>2</t>
    </r>
    <r>
      <rPr>
        <sz val="11"/>
        <color theme="1"/>
        <rFont val="Calibri"/>
        <family val="2"/>
        <scheme val="minor"/>
      </rPr>
      <t>)</t>
    </r>
  </si>
  <si>
    <t>ristilatura armata</t>
  </si>
  <si>
    <t>DIATONI ARTIFICIALI</t>
  </si>
  <si>
    <t>Numero di profili</t>
  </si>
  <si>
    <t>n</t>
  </si>
  <si>
    <t>Normativa: D.M. 17/01/2018 e Circolare Applicativa n.7 21/01/2019</t>
  </si>
  <si>
    <t>int. di consolidamento</t>
  </si>
  <si>
    <t>Versione 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</si>
</sst>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1" formatCode="_-* #,##0_-;\-* #,##0_-;_-* &quot;-&quot;_-;_-@_-"/>
    <numFmt numFmtId="164" formatCode="0.0"/>
    <numFmt numFmtId="165" formatCode="0.00&quot; m&quot;"/>
    <numFmt numFmtId="166" formatCode="0.0&quot; N/cm²&quot;"/>
    <numFmt numFmtId="167" formatCode="0.0&quot; m&quot;"/>
    <numFmt numFmtId="168" formatCode="0.0&quot; kN&quot;"/>
    <numFmt numFmtId="169" formatCode="0.0&quot; kNm&quot;"/>
    <numFmt numFmtId="170" formatCode="0.0&quot; kPa&quot;"/>
    <numFmt numFmtId="171" formatCode="0.00&quot; kNm&quot;"/>
    <numFmt numFmtId="172" formatCode="0.00&quot; N/mm²&quot;"/>
    <numFmt numFmtId="173" formatCode="0&quot; kN/m³&quot;"/>
    <numFmt numFmtId="174" formatCode="0.00&quot; kN&quot;"/>
    <numFmt numFmtId="175" formatCode="0.00&quot; kN/m²&quot;"/>
    <numFmt numFmtId="176" formatCode="0.0&quot; kN/m²&quot;"/>
    <numFmt numFmtId="177" formatCode="0&quot; kN/m²&quot;"/>
    <numFmt numFmtId="178" formatCode="0&quot; N/mm²&quot;"/>
    <numFmt numFmtId="179" formatCode="0.0&quot; t/m³&quot;"/>
    <numFmt numFmtId="180" formatCode="0.0000"/>
    <numFmt numFmtId="181" formatCode="0.00000"/>
    <numFmt numFmtId="182" formatCode="0.0&quot; N/mm²&quot;"/>
    <numFmt numFmtId="183" formatCode="0.000"/>
  </numFmts>
  <fonts count="46">
    <font>
      <sz val="11"/>
      <color theme="1"/>
      <name val="Calibri"/>
      <family val="2"/>
      <scheme val="minor"/>
    </font>
    <font>
      <b/>
      <sz val="11"/>
      <color theme="1"/>
      <name val="Calibri"/>
      <family val="2"/>
      <scheme val="minor"/>
    </font>
    <font>
      <b/>
      <sz val="11"/>
      <color theme="1"/>
      <name val="Calibri"/>
      <family val="2"/>
    </font>
    <font>
      <sz val="11"/>
      <color theme="1"/>
      <name val="Calibri"/>
      <family val="2"/>
    </font>
    <font>
      <b/>
      <sz val="12"/>
      <color theme="1"/>
      <name val="Calibri"/>
      <family val="2"/>
      <scheme val="minor"/>
    </font>
    <font>
      <b/>
      <sz val="14"/>
      <color theme="1"/>
      <name val="Calibri"/>
      <family val="2"/>
    </font>
    <font>
      <b/>
      <sz val="9"/>
      <color theme="1"/>
      <name val="Calibri"/>
      <family val="2"/>
    </font>
    <font>
      <sz val="14"/>
      <color theme="1"/>
      <name val="Calibri"/>
      <family val="2"/>
    </font>
    <font>
      <sz val="9"/>
      <color theme="1"/>
      <name val="Calibri"/>
      <family val="2"/>
    </font>
    <font>
      <b/>
      <sz val="11"/>
      <color indexed="8"/>
      <name val="Calibri"/>
      <family val="2"/>
    </font>
    <font>
      <vertAlign val="superscript"/>
      <sz val="11"/>
      <color indexed="8"/>
      <name val="Calibri"/>
      <family val="2"/>
    </font>
    <font>
      <sz val="11"/>
      <color indexed="8"/>
      <name val="Arial Narrow"/>
      <family val="2"/>
    </font>
    <font>
      <sz val="11"/>
      <color indexed="8"/>
      <name val="Calibri"/>
      <family val="2"/>
    </font>
    <font>
      <sz val="10"/>
      <color indexed="8"/>
      <name val="Calibri"/>
      <family val="2"/>
    </font>
    <font>
      <b/>
      <sz val="11"/>
      <color rgb="FFFF0000"/>
      <name val="Calibri"/>
      <family val="2"/>
      <scheme val="minor"/>
    </font>
    <font>
      <b/>
      <i/>
      <sz val="11"/>
      <color theme="1"/>
      <name val="Calibri"/>
      <family val="2"/>
      <scheme val="minor"/>
    </font>
    <font>
      <b/>
      <sz val="14"/>
      <color rgb="FFFF0000"/>
      <name val="Calibri"/>
      <family val="2"/>
      <scheme val="minor"/>
    </font>
    <font>
      <sz val="12"/>
      <color theme="1"/>
      <name val="Times New Roman"/>
      <family val="1"/>
    </font>
    <font>
      <b/>
      <sz val="12"/>
      <color theme="1"/>
      <name val="Times New Roman"/>
      <family val="1"/>
    </font>
    <font>
      <i/>
      <sz val="11"/>
      <color theme="1"/>
      <name val="Calibri"/>
      <family val="2"/>
      <scheme val="minor"/>
    </font>
    <font>
      <sz val="12"/>
      <color theme="1"/>
      <name val="Arial"/>
      <family val="2"/>
    </font>
    <font>
      <b/>
      <i/>
      <sz val="11"/>
      <color rgb="FF0070C0"/>
      <name val="Calibri"/>
      <family val="2"/>
      <scheme val="minor"/>
    </font>
    <font>
      <u/>
      <sz val="11"/>
      <color theme="10"/>
      <name val="Calibri"/>
      <family val="2"/>
      <scheme val="minor"/>
    </font>
    <font>
      <sz val="16"/>
      <color theme="1"/>
      <name val="Calibri"/>
      <family val="2"/>
    </font>
    <font>
      <b/>
      <sz val="12"/>
      <color rgb="FFFF0000"/>
      <name val="Calibri"/>
      <family val="2"/>
      <scheme val="minor"/>
    </font>
    <font>
      <sz val="11"/>
      <color theme="1"/>
      <name val="Calibri"/>
      <family val="2"/>
      <scheme val="minor"/>
    </font>
    <font>
      <sz val="10"/>
      <color indexed="8"/>
      <name val="Futura Lt BT"/>
      <family val="2"/>
    </font>
    <font>
      <sz val="10"/>
      <name val="Futura Lt BT"/>
      <family val="2"/>
    </font>
    <font>
      <b/>
      <sz val="10"/>
      <name val="Futura Lt BT"/>
      <family val="2"/>
    </font>
    <font>
      <b/>
      <i/>
      <u/>
      <sz val="10"/>
      <color indexed="10"/>
      <name val="Futura Lt BT"/>
      <family val="2"/>
    </font>
    <font>
      <b/>
      <sz val="11"/>
      <name val="Futura Lt BT"/>
      <family val="2"/>
    </font>
    <font>
      <b/>
      <vertAlign val="subscript"/>
      <sz val="10"/>
      <name val="Futura Lt BT"/>
      <family val="2"/>
    </font>
    <font>
      <b/>
      <vertAlign val="superscript"/>
      <sz val="11"/>
      <name val="Futura Lt BT"/>
      <family val="2"/>
    </font>
    <font>
      <b/>
      <vertAlign val="subscript"/>
      <sz val="11"/>
      <name val="Futura Lt BT"/>
      <family val="2"/>
    </font>
    <font>
      <vertAlign val="subscript"/>
      <sz val="11"/>
      <color indexed="8"/>
      <name val="Calibri"/>
      <family val="2"/>
    </font>
    <font>
      <vertAlign val="subscript"/>
      <sz val="10"/>
      <name val="Century Gothic"/>
      <family val="2"/>
    </font>
    <font>
      <i/>
      <sz val="11"/>
      <color indexed="8"/>
      <name val="Calibri"/>
      <family val="2"/>
    </font>
    <font>
      <sz val="13.2"/>
      <color indexed="8"/>
      <name val="Calibri"/>
      <family val="2"/>
    </font>
    <font>
      <sz val="9"/>
      <color indexed="81"/>
      <name val="Tahoma"/>
      <family val="2"/>
    </font>
    <font>
      <b/>
      <sz val="9"/>
      <color indexed="81"/>
      <name val="Tahoma"/>
      <family val="2"/>
    </font>
    <font>
      <b/>
      <vertAlign val="subscript"/>
      <sz val="11"/>
      <color indexed="8"/>
      <name val="Calibri"/>
      <family val="2"/>
    </font>
    <font>
      <b/>
      <u/>
      <sz val="14"/>
      <color theme="1"/>
      <name val="Calibri"/>
      <family val="2"/>
    </font>
    <font>
      <u/>
      <sz val="11"/>
      <color theme="1"/>
      <name val="Calibri"/>
      <family val="2"/>
    </font>
    <font>
      <b/>
      <u/>
      <sz val="11"/>
      <color indexed="8"/>
      <name val="Calibri"/>
      <family val="2"/>
    </font>
    <font>
      <b/>
      <i/>
      <u/>
      <sz val="11"/>
      <color indexed="8"/>
      <name val="Calibri"/>
      <family val="2"/>
    </font>
    <font>
      <b/>
      <sz val="12"/>
      <color indexed="8"/>
      <name val="Calibri"/>
      <family val="2"/>
    </font>
  </fonts>
  <fills count="8">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indexed="44"/>
        <bgColor indexed="64"/>
      </patternFill>
    </fill>
    <fill>
      <patternFill patternType="solid">
        <fgColor theme="0" tint="-0.14999847407452621"/>
        <bgColor indexed="64"/>
      </patternFill>
    </fill>
    <fill>
      <patternFill patternType="solid">
        <fgColor indexed="9"/>
        <bgColor indexed="64"/>
      </patternFill>
    </fill>
    <fill>
      <patternFill patternType="solid">
        <fgColor theme="9" tint="0.5999938962981048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double">
        <color auto="1"/>
      </top>
      <bottom style="double">
        <color auto="1"/>
      </bottom>
      <diagonal/>
    </border>
    <border>
      <left style="thin">
        <color auto="1"/>
      </left>
      <right style="thin">
        <color auto="1"/>
      </right>
      <top style="double">
        <color auto="1"/>
      </top>
      <bottom style="thin">
        <color auto="1"/>
      </bottom>
      <diagonal/>
    </border>
    <border>
      <left/>
      <right/>
      <top style="double">
        <color auto="1"/>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double">
        <color auto="1"/>
      </right>
      <top/>
      <bottom/>
      <diagonal/>
    </border>
    <border>
      <left style="thin">
        <color auto="1"/>
      </left>
      <right style="thin">
        <color auto="1"/>
      </right>
      <top style="double">
        <color auto="1"/>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4">
    <xf numFmtId="0" fontId="0" fillId="0" borderId="0"/>
    <xf numFmtId="0" fontId="22" fillId="0" borderId="0" applyNumberFormat="0" applyFill="0" applyBorder="0" applyAlignment="0" applyProtection="0"/>
    <xf numFmtId="41" fontId="25" fillId="0" borderId="0" applyFont="0" applyFill="0" applyBorder="0" applyAlignment="0" applyProtection="0"/>
    <xf numFmtId="0" fontId="25" fillId="0" borderId="0"/>
  </cellStyleXfs>
  <cellXfs count="310">
    <xf numFmtId="0" fontId="0" fillId="0" borderId="0" xfId="0"/>
    <xf numFmtId="0" fontId="0" fillId="0" borderId="0" xfId="0" applyAlignment="1">
      <alignment horizontal="center" vertical="center"/>
    </xf>
    <xf numFmtId="0" fontId="0" fillId="0" borderId="0" xfId="0"/>
    <xf numFmtId="0" fontId="0" fillId="0" borderId="0" xfId="0"/>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0" xfId="0" applyBorder="1" applyAlignment="1">
      <alignment horizontal="center"/>
    </xf>
    <xf numFmtId="0" fontId="0" fillId="0" borderId="0" xfId="0" applyAlignment="1">
      <alignment horizontal="center"/>
    </xf>
    <xf numFmtId="0" fontId="13" fillId="0" borderId="0" xfId="0" applyFont="1" applyBorder="1" applyAlignment="1">
      <alignment horizontal="left"/>
    </xf>
    <xf numFmtId="0" fontId="0" fillId="4" borderId="0" xfId="0" applyFill="1" applyBorder="1" applyAlignment="1">
      <alignment horizontal="center"/>
    </xf>
    <xf numFmtId="0" fontId="0" fillId="0" borderId="0" xfId="0" applyProtection="1">
      <protection hidden="1"/>
    </xf>
    <xf numFmtId="0" fontId="0" fillId="0" borderId="2" xfId="0" applyBorder="1" applyAlignment="1" applyProtection="1">
      <alignment horizontal="center" vertical="center"/>
      <protection locked="0"/>
    </xf>
    <xf numFmtId="0" fontId="13" fillId="0" borderId="0" xfId="0" applyFont="1" applyFill="1" applyBorder="1" applyAlignment="1">
      <alignment horizontal="left"/>
    </xf>
    <xf numFmtId="0" fontId="0" fillId="0" borderId="0" xfId="0" applyAlignment="1">
      <alignment horizontal="left"/>
    </xf>
    <xf numFmtId="0" fontId="0" fillId="4" borderId="1" xfId="0" applyFill="1" applyBorder="1" applyAlignment="1">
      <alignment horizontal="center"/>
    </xf>
    <xf numFmtId="0" fontId="13" fillId="0" borderId="1" xfId="0" applyFont="1" applyBorder="1" applyAlignment="1">
      <alignment horizontal="left"/>
    </xf>
    <xf numFmtId="0" fontId="0" fillId="3" borderId="0" xfId="0" applyFill="1" applyAlignment="1">
      <alignment horizontal="center" vertical="center"/>
    </xf>
    <xf numFmtId="0" fontId="0" fillId="0" borderId="0" xfId="0" applyFill="1" applyBorder="1" applyAlignment="1">
      <alignment horizontal="left"/>
    </xf>
    <xf numFmtId="0" fontId="0" fillId="0" borderId="0" xfId="0" applyAlignment="1">
      <alignment vertical="center"/>
    </xf>
    <xf numFmtId="0" fontId="0" fillId="0" borderId="0" xfId="0" applyFill="1" applyBorder="1" applyAlignment="1">
      <alignment horizontal="center" vertical="center"/>
    </xf>
    <xf numFmtId="0" fontId="0" fillId="3" borderId="1" xfId="0" applyFill="1" applyBorder="1" applyAlignment="1">
      <alignment horizontal="center" vertical="center"/>
    </xf>
    <xf numFmtId="165" fontId="0" fillId="0" borderId="2" xfId="0" applyNumberFormat="1" applyBorder="1" applyAlignment="1" applyProtection="1">
      <alignment horizontal="center" vertical="center"/>
      <protection locked="0"/>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20" fillId="0" borderId="0" xfId="0" applyFont="1" applyProtection="1">
      <protection hidden="1"/>
    </xf>
    <xf numFmtId="174" fontId="0" fillId="0" borderId="2" xfId="0" applyNumberFormat="1" applyBorder="1" applyAlignment="1" applyProtection="1">
      <alignment horizontal="center" vertical="center"/>
      <protection locked="0"/>
    </xf>
    <xf numFmtId="171" fontId="0" fillId="0" borderId="2" xfId="0" applyNumberFormat="1" applyBorder="1" applyAlignment="1" applyProtection="1">
      <alignment horizontal="center" vertical="center"/>
      <protection locked="0"/>
    </xf>
    <xf numFmtId="0" fontId="0" fillId="0" borderId="0" xfId="0" applyProtection="1"/>
    <xf numFmtId="0" fontId="14" fillId="0" borderId="0" xfId="0" applyFont="1" applyAlignment="1" applyProtection="1">
      <alignment horizontal="left"/>
    </xf>
    <xf numFmtId="0" fontId="0" fillId="0" borderId="0" xfId="0" applyAlignment="1" applyProtection="1">
      <alignment horizontal="left"/>
    </xf>
    <xf numFmtId="0" fontId="1" fillId="0" borderId="0" xfId="0" applyFont="1" applyAlignment="1" applyProtection="1">
      <alignment horizontal="center"/>
    </xf>
    <xf numFmtId="0" fontId="0" fillId="0" borderId="0" xfId="0" applyFont="1" applyAlignment="1" applyProtection="1">
      <alignment horizontal="center" vertical="center"/>
    </xf>
    <xf numFmtId="165" fontId="0" fillId="0" borderId="0" xfId="0" applyNumberFormat="1" applyBorder="1" applyAlignment="1" applyProtection="1">
      <alignment horizontal="center" vertical="center"/>
    </xf>
    <xf numFmtId="0" fontId="1" fillId="0" borderId="0" xfId="0" applyFont="1" applyAlignment="1" applyProtection="1">
      <alignment horizontal="left"/>
    </xf>
    <xf numFmtId="0" fontId="0" fillId="0" borderId="0" xfId="0" applyAlignment="1" applyProtection="1">
      <alignment horizontal="center" vertical="center"/>
    </xf>
    <xf numFmtId="0" fontId="0" fillId="0" borderId="3" xfId="0" applyBorder="1" applyAlignment="1" applyProtection="1">
      <alignment horizontal="center" vertical="center"/>
    </xf>
    <xf numFmtId="0" fontId="0" fillId="0" borderId="0" xfId="0" applyFill="1" applyBorder="1" applyAlignment="1" applyProtection="1">
      <alignment horizontal="left"/>
    </xf>
    <xf numFmtId="0" fontId="19" fillId="0" borderId="0" xfId="0" applyFont="1" applyAlignment="1" applyProtection="1">
      <alignment horizontal="right"/>
    </xf>
    <xf numFmtId="0" fontId="19" fillId="0" borderId="0" xfId="0" applyFont="1" applyAlignment="1" applyProtection="1">
      <alignment horizontal="center" vertical="center"/>
    </xf>
    <xf numFmtId="0" fontId="19" fillId="0" borderId="0" xfId="0" applyFont="1" applyProtection="1"/>
    <xf numFmtId="0" fontId="0" fillId="0" borderId="0" xfId="0" applyFill="1" applyProtection="1"/>
    <xf numFmtId="1" fontId="0" fillId="0" borderId="0" xfId="0" applyNumberFormat="1" applyAlignment="1">
      <alignment horizontal="center" vertical="center"/>
    </xf>
    <xf numFmtId="180" fontId="0" fillId="0" borderId="0" xfId="0" applyNumberFormat="1" applyAlignment="1">
      <alignment horizontal="center" vertical="center"/>
    </xf>
    <xf numFmtId="1" fontId="0" fillId="0" borderId="0" xfId="0" applyNumberFormat="1"/>
    <xf numFmtId="164" fontId="0" fillId="0" borderId="0" xfId="0" applyNumberFormat="1" applyFont="1" applyAlignment="1">
      <alignment horizontal="center" vertical="center"/>
    </xf>
    <xf numFmtId="0" fontId="1" fillId="3" borderId="0" xfId="0" applyFont="1" applyFill="1" applyBorder="1" applyAlignment="1">
      <alignment horizontal="center" vertical="center"/>
    </xf>
    <xf numFmtId="0" fontId="0" fillId="3" borderId="0" xfId="0" applyFill="1" applyBorder="1" applyAlignment="1">
      <alignment horizontal="center" vertical="center"/>
    </xf>
    <xf numFmtId="0" fontId="2" fillId="3" borderId="0" xfId="0" applyFont="1" applyFill="1" applyBorder="1" applyAlignment="1">
      <alignment horizontal="center" vertical="center"/>
    </xf>
    <xf numFmtId="2" fontId="0" fillId="3" borderId="0" xfId="0" applyNumberFormat="1" applyFill="1" applyBorder="1" applyAlignment="1">
      <alignment horizontal="center" vertical="center"/>
    </xf>
    <xf numFmtId="0" fontId="5" fillId="3" borderId="0" xfId="0" applyFont="1" applyFill="1" applyBorder="1" applyAlignment="1">
      <alignment horizontal="center" vertical="center"/>
    </xf>
    <xf numFmtId="0" fontId="3" fillId="3" borderId="0" xfId="0" applyFont="1" applyFill="1" applyBorder="1" applyAlignment="1">
      <alignment horizontal="center" vertical="center"/>
    </xf>
    <xf numFmtId="9" fontId="0" fillId="3" borderId="0" xfId="0" quotePrefix="1" applyNumberFormat="1" applyFill="1" applyAlignment="1">
      <alignment horizontal="center" vertical="center"/>
    </xf>
    <xf numFmtId="0" fontId="5"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2" fontId="0" fillId="0" borderId="0" xfId="0" applyNumberFormat="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13" xfId="0" applyBorder="1" applyProtection="1">
      <protection hidden="1"/>
    </xf>
    <xf numFmtId="0" fontId="0" fillId="0" borderId="12" xfId="0" applyBorder="1" applyProtection="1">
      <protection hidden="1"/>
    </xf>
    <xf numFmtId="0" fontId="23" fillId="0" borderId="1" xfId="0" applyFont="1" applyBorder="1" applyAlignment="1" applyProtection="1">
      <alignment horizontal="center" vertical="center"/>
      <protection hidden="1"/>
    </xf>
    <xf numFmtId="0" fontId="7" fillId="0" borderId="1" xfId="0"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1" fontId="0" fillId="0" borderId="1" xfId="0" applyNumberFormat="1" applyBorder="1" applyAlignment="1" applyProtection="1">
      <alignment horizontal="center" vertical="center"/>
      <protection hidden="1"/>
    </xf>
    <xf numFmtId="181" fontId="0" fillId="0" borderId="1" xfId="0" applyNumberFormat="1" applyBorder="1" applyAlignment="1" applyProtection="1">
      <alignment horizontal="center" vertical="center"/>
      <protection hidden="1"/>
    </xf>
    <xf numFmtId="180" fontId="0" fillId="0" borderId="1" xfId="0" applyNumberFormat="1" applyBorder="1" applyAlignment="1" applyProtection="1">
      <alignment horizontal="center" vertical="center"/>
      <protection hidden="1"/>
    </xf>
    <xf numFmtId="180" fontId="0" fillId="0" borderId="0" xfId="0" applyNumberFormat="1" applyAlignment="1" applyProtection="1">
      <alignment horizontal="center" vertical="center"/>
      <protection hidden="1"/>
    </xf>
    <xf numFmtId="0" fontId="1" fillId="0" borderId="0" xfId="0" applyFont="1" applyProtection="1">
      <protection hidden="1"/>
    </xf>
    <xf numFmtId="1" fontId="1" fillId="0" borderId="1" xfId="0" applyNumberFormat="1" applyFont="1"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176" fontId="0" fillId="0" borderId="1" xfId="0" applyNumberFormat="1" applyBorder="1" applyAlignment="1" applyProtection="1">
      <alignment horizontal="center" vertical="center"/>
      <protection hidden="1"/>
    </xf>
    <xf numFmtId="176" fontId="0" fillId="0" borderId="1" xfId="0" applyNumberFormat="1" applyFont="1" applyBorder="1" applyAlignment="1" applyProtection="1">
      <alignment horizontal="center" vertical="center"/>
      <protection hidden="1"/>
    </xf>
    <xf numFmtId="0" fontId="0" fillId="0" borderId="2" xfId="0"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1" xfId="0" applyFill="1" applyBorder="1" applyAlignment="1"/>
    <xf numFmtId="0" fontId="0" fillId="0" borderId="1" xfId="0" applyBorder="1" applyAlignment="1"/>
    <xf numFmtId="0" fontId="0" fillId="0" borderId="0" xfId="0" applyBorder="1" applyAlignment="1">
      <alignment vertical="center" wrapText="1"/>
    </xf>
    <xf numFmtId="0" fontId="0" fillId="0" borderId="15" xfId="0" applyFill="1" applyBorder="1" applyAlignment="1"/>
    <xf numFmtId="0" fontId="0" fillId="0" borderId="15" xfId="0" applyBorder="1" applyAlignment="1"/>
    <xf numFmtId="0" fontId="0" fillId="0" borderId="2" xfId="0" applyBorder="1" applyAlignment="1" applyProtection="1">
      <alignment horizontal="center"/>
      <protection locked="0"/>
    </xf>
    <xf numFmtId="0" fontId="0" fillId="0" borderId="0" xfId="0" applyBorder="1" applyAlignment="1"/>
    <xf numFmtId="166" fontId="15" fillId="3" borderId="0" xfId="0" applyNumberFormat="1" applyFont="1" applyFill="1" applyAlignment="1">
      <alignment horizontal="center" vertical="center"/>
    </xf>
    <xf numFmtId="0" fontId="19" fillId="3" borderId="0" xfId="0" applyFont="1" applyFill="1" applyAlignment="1" applyProtection="1">
      <alignment horizontal="center" vertical="center"/>
    </xf>
    <xf numFmtId="0" fontId="1" fillId="0" borderId="0" xfId="0" applyFont="1" applyAlignment="1" applyProtection="1">
      <alignment horizontal="center" vertical="center"/>
      <protection hidden="1"/>
    </xf>
    <xf numFmtId="0" fontId="1" fillId="0" borderId="1" xfId="0" applyFont="1" applyFill="1" applyBorder="1" applyAlignment="1" applyProtection="1">
      <alignment horizontal="center"/>
      <protection hidden="1"/>
    </xf>
    <xf numFmtId="167" fontId="0" fillId="0" borderId="1" xfId="0" applyNumberFormat="1" applyBorder="1" applyAlignment="1" applyProtection="1">
      <alignment horizontal="center" vertical="center"/>
      <protection hidden="1"/>
    </xf>
    <xf numFmtId="168" fontId="0" fillId="0" borderId="1" xfId="0" applyNumberFormat="1" applyFill="1" applyBorder="1" applyAlignment="1" applyProtection="1">
      <alignment horizontal="center" vertical="center"/>
      <protection hidden="1"/>
    </xf>
    <xf numFmtId="167" fontId="0" fillId="0" borderId="1" xfId="0" applyNumberFormat="1" applyBorder="1" applyAlignment="1" applyProtection="1">
      <alignment horizontal="center"/>
      <protection hidden="1"/>
    </xf>
    <xf numFmtId="169" fontId="0" fillId="0" borderId="1" xfId="0" applyNumberFormat="1" applyBorder="1" applyAlignment="1" applyProtection="1">
      <alignment horizontal="center" vertical="center"/>
      <protection hidden="1"/>
    </xf>
    <xf numFmtId="0" fontId="1" fillId="0" borderId="0" xfId="0" applyFont="1" applyFill="1" applyBorder="1" applyAlignment="1" applyProtection="1">
      <alignment horizontal="center"/>
      <protection hidden="1"/>
    </xf>
    <xf numFmtId="167" fontId="0" fillId="0" borderId="0" xfId="0" applyNumberFormat="1" applyBorder="1" applyAlignment="1" applyProtection="1">
      <alignment horizontal="center"/>
      <protection hidden="1"/>
    </xf>
    <xf numFmtId="0" fontId="2" fillId="0" borderId="1" xfId="0" applyFont="1" applyFill="1" applyBorder="1" applyAlignment="1" applyProtection="1">
      <alignment horizontal="center" vertical="center"/>
      <protection hidden="1"/>
    </xf>
    <xf numFmtId="170" fontId="0" fillId="0" borderId="1" xfId="0" applyNumberFormat="1" applyBorder="1" applyAlignment="1" applyProtection="1">
      <alignment horizontal="center" vertical="center"/>
      <protection hidden="1"/>
    </xf>
    <xf numFmtId="165" fontId="0" fillId="0" borderId="1" xfId="0" applyNumberFormat="1" applyBorder="1" applyAlignment="1" applyProtection="1">
      <alignment horizontal="center" vertical="center"/>
      <protection hidden="1"/>
    </xf>
    <xf numFmtId="171" fontId="0" fillId="0" borderId="1" xfId="0" applyNumberFormat="1" applyBorder="1" applyAlignment="1" applyProtection="1">
      <alignment horizontal="center" vertical="center"/>
      <protection hidden="1"/>
    </xf>
    <xf numFmtId="0" fontId="4" fillId="2" borderId="1" xfId="0" applyFont="1" applyFill="1" applyBorder="1" applyAlignment="1" applyProtection="1">
      <alignment horizontal="center" vertical="center"/>
      <protection hidden="1"/>
    </xf>
    <xf numFmtId="0" fontId="2" fillId="0" borderId="1" xfId="0" applyFont="1" applyFill="1" applyBorder="1" applyAlignment="1" applyProtection="1">
      <alignment horizontal="center"/>
      <protection hidden="1"/>
    </xf>
    <xf numFmtId="164" fontId="0" fillId="0" borderId="1" xfId="0" applyNumberFormat="1" applyBorder="1" applyAlignment="1" applyProtection="1">
      <alignment horizontal="center" vertical="center"/>
      <protection hidden="1"/>
    </xf>
    <xf numFmtId="0" fontId="5" fillId="0" borderId="1" xfId="0" applyFont="1" applyFill="1" applyBorder="1" applyAlignment="1" applyProtection="1">
      <alignment horizontal="center"/>
      <protection hidden="1"/>
    </xf>
    <xf numFmtId="2" fontId="0" fillId="0" borderId="1" xfId="0" applyNumberFormat="1" applyBorder="1" applyAlignment="1" applyProtection="1">
      <alignment horizontal="center" vertical="center"/>
      <protection hidden="1"/>
    </xf>
    <xf numFmtId="166" fontId="15" fillId="0" borderId="0" xfId="0" applyNumberFormat="1" applyFont="1" applyAlignment="1" applyProtection="1">
      <alignment horizontal="center" vertical="center"/>
      <protection hidden="1"/>
    </xf>
    <xf numFmtId="182" fontId="15" fillId="0" borderId="0" xfId="0" applyNumberFormat="1" applyFont="1" applyAlignment="1" applyProtection="1">
      <alignment horizontal="center" vertical="center"/>
      <protection hidden="1"/>
    </xf>
    <xf numFmtId="173" fontId="15" fillId="0" borderId="0" xfId="0" applyNumberFormat="1" applyFont="1" applyAlignment="1" applyProtection="1">
      <alignment horizontal="center" vertical="center"/>
      <protection hidden="1"/>
    </xf>
    <xf numFmtId="0" fontId="0" fillId="0" borderId="0" xfId="0" applyBorder="1" applyAlignment="1" applyProtection="1">
      <protection hidden="1"/>
    </xf>
    <xf numFmtId="173" fontId="0" fillId="0" borderId="0" xfId="0" applyNumberFormat="1" applyAlignment="1" applyProtection="1">
      <alignment horizontal="center" vertical="center"/>
      <protection hidden="1"/>
    </xf>
    <xf numFmtId="179" fontId="0" fillId="0" borderId="0" xfId="0" applyNumberFormat="1" applyAlignment="1" applyProtection="1">
      <alignment horizontal="center" vertical="center"/>
      <protection hidden="1"/>
    </xf>
    <xf numFmtId="176" fontId="0" fillId="0" borderId="0" xfId="0" applyNumberFormat="1" applyAlignment="1" applyProtection="1">
      <alignment horizontal="center" vertical="center"/>
      <protection hidden="1"/>
    </xf>
    <xf numFmtId="172" fontId="0" fillId="0" borderId="0" xfId="0" applyNumberFormat="1" applyAlignment="1" applyProtection="1">
      <alignment horizontal="center" vertical="center"/>
      <protection hidden="1"/>
    </xf>
    <xf numFmtId="0" fontId="5" fillId="0" borderId="0" xfId="0" applyFont="1" applyFill="1" applyBorder="1" applyAlignment="1" applyProtection="1">
      <alignment horizontal="center"/>
      <protection hidden="1"/>
    </xf>
    <xf numFmtId="0" fontId="0" fillId="0" borderId="0" xfId="0" applyBorder="1" applyProtection="1">
      <protection hidden="1"/>
    </xf>
    <xf numFmtId="175" fontId="0" fillId="0" borderId="0" xfId="0" applyNumberFormat="1" applyAlignment="1" applyProtection="1">
      <alignment horizontal="center" vertical="center"/>
      <protection hidden="1"/>
    </xf>
    <xf numFmtId="178" fontId="0" fillId="0" borderId="0" xfId="0" applyNumberFormat="1" applyAlignment="1" applyProtection="1">
      <alignment horizontal="center" vertical="center"/>
      <protection hidden="1"/>
    </xf>
    <xf numFmtId="177" fontId="0" fillId="0" borderId="0" xfId="0" applyNumberFormat="1" applyAlignment="1" applyProtection="1">
      <alignment horizontal="center" vertical="center"/>
      <protection hidden="1"/>
    </xf>
    <xf numFmtId="0" fontId="19" fillId="0" borderId="0" xfId="0" applyFont="1" applyAlignment="1" applyProtection="1">
      <protection hidden="1"/>
    </xf>
    <xf numFmtId="0" fontId="19" fillId="0" borderId="0" xfId="0" applyFont="1" applyAlignment="1" applyProtection="1">
      <alignment horizontal="center"/>
      <protection hidden="1"/>
    </xf>
    <xf numFmtId="0" fontId="1" fillId="0" borderId="0" xfId="0" applyFont="1" applyBorder="1" applyAlignment="1" applyProtection="1">
      <alignment horizontal="center" vertical="center"/>
      <protection hidden="1"/>
    </xf>
    <xf numFmtId="0" fontId="3" fillId="0" borderId="0" xfId="0" applyFont="1" applyBorder="1" applyAlignment="1" applyProtection="1">
      <alignment horizontal="center" vertical="center"/>
      <protection hidden="1"/>
    </xf>
    <xf numFmtId="0" fontId="0" fillId="0" borderId="16" xfId="0" applyBorder="1" applyAlignment="1" applyProtection="1">
      <alignment horizontal="center" vertical="center"/>
    </xf>
    <xf numFmtId="0" fontId="16" fillId="0" borderId="0" xfId="0" applyFont="1" applyAlignment="1" applyProtection="1">
      <alignment horizontal="center" vertical="center"/>
    </xf>
    <xf numFmtId="0" fontId="26" fillId="0" borderId="0" xfId="0" applyFont="1" applyProtection="1">
      <protection hidden="1"/>
    </xf>
    <xf numFmtId="0" fontId="27" fillId="0" borderId="0" xfId="0" applyFont="1" applyProtection="1">
      <protection hidden="1"/>
    </xf>
    <xf numFmtId="0" fontId="29" fillId="0" borderId="17" xfId="0" applyFont="1" applyBorder="1" applyAlignment="1" applyProtection="1">
      <alignment horizontal="center"/>
      <protection hidden="1"/>
    </xf>
    <xf numFmtId="0" fontId="27" fillId="0" borderId="17" xfId="0" applyFont="1" applyBorder="1" applyAlignment="1" applyProtection="1">
      <alignment horizontal="center"/>
      <protection hidden="1"/>
    </xf>
    <xf numFmtId="0" fontId="27" fillId="0" borderId="22" xfId="0" applyFont="1" applyBorder="1" applyAlignment="1" applyProtection="1">
      <alignment horizontal="center"/>
      <protection hidden="1"/>
    </xf>
    <xf numFmtId="0" fontId="28" fillId="0" borderId="17" xfId="0" applyFont="1" applyBorder="1" applyAlignment="1" applyProtection="1">
      <alignment horizontal="center"/>
      <protection hidden="1"/>
    </xf>
    <xf numFmtId="0" fontId="30" fillId="0" borderId="23" xfId="0" applyFont="1" applyBorder="1" applyAlignment="1" applyProtection="1">
      <alignment horizontal="center"/>
      <protection hidden="1"/>
    </xf>
    <xf numFmtId="0" fontId="28" fillId="0" borderId="26" xfId="0" applyFont="1" applyBorder="1" applyAlignment="1" applyProtection="1">
      <alignment horizontal="center"/>
      <protection hidden="1"/>
    </xf>
    <xf numFmtId="0" fontId="30" fillId="0" borderId="27" xfId="0" applyFont="1" applyBorder="1" applyAlignment="1" applyProtection="1">
      <alignment horizontal="center"/>
      <protection hidden="1"/>
    </xf>
    <xf numFmtId="0" fontId="27" fillId="0" borderId="28" xfId="0" applyFont="1" applyBorder="1" applyProtection="1">
      <protection hidden="1"/>
    </xf>
    <xf numFmtId="0" fontId="27" fillId="0" borderId="25" xfId="0" applyFont="1" applyBorder="1" applyProtection="1">
      <protection hidden="1"/>
    </xf>
    <xf numFmtId="0" fontId="26" fillId="0" borderId="0" xfId="0" applyFont="1" applyAlignment="1" applyProtection="1">
      <alignment horizontal="center"/>
      <protection hidden="1"/>
    </xf>
    <xf numFmtId="0" fontId="27" fillId="0" borderId="17" xfId="2" applyNumberFormat="1" applyFont="1" applyBorder="1" applyAlignment="1" applyProtection="1">
      <alignment horizontal="center"/>
      <protection hidden="1"/>
    </xf>
    <xf numFmtId="0" fontId="28" fillId="0" borderId="28" xfId="0" applyFont="1" applyBorder="1" applyAlignment="1" applyProtection="1">
      <alignment horizontal="center"/>
      <protection hidden="1"/>
    </xf>
    <xf numFmtId="0" fontId="27" fillId="0" borderId="28" xfId="2" applyNumberFormat="1" applyFont="1" applyBorder="1" applyAlignment="1" applyProtection="1">
      <alignment horizontal="center"/>
      <protection hidden="1"/>
    </xf>
    <xf numFmtId="0" fontId="28" fillId="0" borderId="23" xfId="0" applyFont="1" applyBorder="1" applyAlignment="1" applyProtection="1">
      <alignment horizontal="center"/>
      <protection hidden="1"/>
    </xf>
    <xf numFmtId="0" fontId="27" fillId="0" borderId="23" xfId="2" applyNumberFormat="1" applyFont="1" applyBorder="1" applyAlignment="1" applyProtection="1">
      <alignment horizontal="center"/>
      <protection hidden="1"/>
    </xf>
    <xf numFmtId="0" fontId="28" fillId="0" borderId="29" xfId="0" applyFont="1" applyBorder="1" applyAlignment="1" applyProtection="1">
      <alignment horizontal="center"/>
      <protection hidden="1"/>
    </xf>
    <xf numFmtId="0" fontId="27" fillId="0" borderId="17" xfId="0" applyNumberFormat="1" applyFont="1" applyBorder="1" applyAlignment="1" applyProtection="1">
      <alignment horizontal="center"/>
      <protection hidden="1"/>
    </xf>
    <xf numFmtId="0" fontId="27" fillId="0" borderId="23" xfId="0" applyNumberFormat="1" applyFont="1" applyBorder="1" applyAlignment="1" applyProtection="1">
      <alignment horizontal="center"/>
      <protection hidden="1"/>
    </xf>
    <xf numFmtId="0" fontId="27" fillId="0" borderId="28" xfId="0" applyNumberFormat="1" applyFont="1" applyBorder="1" applyAlignment="1" applyProtection="1">
      <alignment horizontal="center"/>
      <protection hidden="1"/>
    </xf>
    <xf numFmtId="0" fontId="28" fillId="0" borderId="0" xfId="0" applyFont="1" applyBorder="1" applyAlignment="1" applyProtection="1">
      <alignment horizontal="center"/>
      <protection hidden="1"/>
    </xf>
    <xf numFmtId="0" fontId="27" fillId="0" borderId="0" xfId="0" applyNumberFormat="1" applyFont="1" applyBorder="1" applyAlignment="1" applyProtection="1">
      <alignment horizontal="center"/>
      <protection hidden="1"/>
    </xf>
    <xf numFmtId="0" fontId="0" fillId="6" borderId="0" xfId="0" applyFont="1" applyFill="1" applyBorder="1"/>
    <xf numFmtId="0" fontId="0" fillId="6" borderId="0" xfId="0" applyFill="1" applyBorder="1"/>
    <xf numFmtId="0" fontId="0" fillId="0" borderId="0" xfId="0" applyFont="1" applyFill="1" applyBorder="1"/>
    <xf numFmtId="0" fontId="0" fillId="0" borderId="0" xfId="0" applyFill="1" applyBorder="1" applyAlignment="1">
      <alignment horizontal="right"/>
    </xf>
    <xf numFmtId="0" fontId="0" fillId="0" borderId="0" xfId="0" applyFill="1" applyBorder="1"/>
    <xf numFmtId="164" fontId="0" fillId="0" borderId="0" xfId="0" applyNumberFormat="1" applyAlignment="1">
      <alignment horizontal="center"/>
    </xf>
    <xf numFmtId="0" fontId="0" fillId="0" borderId="0" xfId="0"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27" fillId="0" borderId="0" xfId="0" applyFont="1" applyAlignment="1" applyProtection="1">
      <alignment horizontal="center" vertical="center"/>
      <protection hidden="1"/>
    </xf>
    <xf numFmtId="0" fontId="27" fillId="0" borderId="0" xfId="0" applyFont="1" applyAlignment="1" applyProtection="1">
      <protection hidden="1"/>
    </xf>
    <xf numFmtId="0" fontId="0" fillId="3" borderId="1" xfId="0" applyFill="1" applyBorder="1"/>
    <xf numFmtId="2" fontId="0" fillId="0" borderId="0" xfId="0" applyNumberFormat="1" applyFont="1" applyFill="1" applyBorder="1" applyAlignment="1">
      <alignment horizontal="center" vertical="center"/>
    </xf>
    <xf numFmtId="0" fontId="0" fillId="0" borderId="0" xfId="0"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41" fillId="0" borderId="0" xfId="0" applyFont="1" applyFill="1" applyAlignment="1" applyProtection="1">
      <alignment horizontal="center" vertical="center"/>
      <protection hidden="1"/>
    </xf>
    <xf numFmtId="0" fontId="42" fillId="0" borderId="0" xfId="0" applyFont="1" applyFill="1" applyAlignment="1" applyProtection="1">
      <protection hidden="1"/>
    </xf>
    <xf numFmtId="0" fontId="0" fillId="6" borderId="0" xfId="0" applyFill="1" applyProtection="1">
      <protection hidden="1"/>
    </xf>
    <xf numFmtId="0" fontId="0" fillId="6" borderId="0" xfId="0" applyFont="1" applyFill="1" applyProtection="1">
      <protection hidden="1"/>
    </xf>
    <xf numFmtId="0" fontId="0" fillId="6" borderId="0" xfId="0" applyFont="1" applyFill="1" applyBorder="1" applyProtection="1">
      <protection hidden="1"/>
    </xf>
    <xf numFmtId="0" fontId="0" fillId="6" borderId="0" xfId="0" applyFill="1" applyBorder="1" applyProtection="1">
      <protection hidden="1"/>
    </xf>
    <xf numFmtId="0" fontId="0" fillId="0" borderId="0" xfId="0" applyFill="1" applyBorder="1" applyAlignment="1" applyProtection="1">
      <alignment horizontal="right"/>
      <protection hidden="1"/>
    </xf>
    <xf numFmtId="0" fontId="0" fillId="0" borderId="0" xfId="0" applyFont="1" applyFill="1" applyBorder="1" applyAlignment="1" applyProtection="1">
      <alignment horizontal="center"/>
      <protection hidden="1"/>
    </xf>
    <xf numFmtId="0" fontId="0" fillId="0" borderId="0" xfId="0" applyFont="1" applyFill="1" applyBorder="1" applyProtection="1">
      <protection hidden="1"/>
    </xf>
    <xf numFmtId="1" fontId="0" fillId="0" borderId="0" xfId="0" applyNumberFormat="1" applyFont="1" applyFill="1" applyBorder="1" applyAlignment="1" applyProtection="1">
      <alignment horizontal="center"/>
      <protection hidden="1"/>
    </xf>
    <xf numFmtId="2" fontId="0" fillId="0" borderId="0" xfId="0" applyNumberFormat="1" applyFont="1" applyFill="1" applyBorder="1" applyAlignment="1" applyProtection="1">
      <alignment horizontal="center"/>
      <protection hidden="1"/>
    </xf>
    <xf numFmtId="0" fontId="0" fillId="0" borderId="0" xfId="0" applyFill="1" applyBorder="1" applyProtection="1">
      <protection hidden="1"/>
    </xf>
    <xf numFmtId="0" fontId="0" fillId="0" borderId="0" xfId="0" applyFill="1" applyBorder="1" applyAlignment="1" applyProtection="1">
      <protection hidden="1"/>
    </xf>
    <xf numFmtId="0" fontId="1" fillId="0" borderId="0" xfId="0" applyFont="1" applyFill="1" applyBorder="1" applyAlignment="1" applyProtection="1">
      <alignment horizontal="right" vertical="center"/>
      <protection hidden="1"/>
    </xf>
    <xf numFmtId="0" fontId="1" fillId="0" borderId="0" xfId="0" applyFont="1" applyFill="1" applyBorder="1" applyAlignment="1" applyProtection="1">
      <alignment horizontal="center" vertical="center"/>
      <protection hidden="1"/>
    </xf>
    <xf numFmtId="0" fontId="0" fillId="0" borderId="0" xfId="0" applyFont="1" applyFill="1" applyBorder="1" applyAlignment="1" applyProtection="1">
      <alignment horizontal="right" vertical="center"/>
      <protection hidden="1"/>
    </xf>
    <xf numFmtId="0" fontId="43" fillId="6" borderId="0" xfId="0" applyFont="1" applyFill="1" applyBorder="1" applyProtection="1">
      <protection hidden="1"/>
    </xf>
    <xf numFmtId="2" fontId="0" fillId="0" borderId="0" xfId="0" applyNumberFormat="1" applyFont="1" applyFill="1" applyBorder="1" applyProtection="1">
      <protection hidden="1"/>
    </xf>
    <xf numFmtId="164" fontId="0" fillId="0" borderId="0" xfId="0" applyNumberFormat="1" applyFont="1" applyFill="1" applyBorder="1" applyAlignment="1" applyProtection="1">
      <alignment horizontal="center"/>
      <protection hidden="1"/>
    </xf>
    <xf numFmtId="0" fontId="0" fillId="0" borderId="0" xfId="0" applyFill="1" applyBorder="1" applyAlignment="1" applyProtection="1">
      <alignment horizontal="right" vertical="center"/>
      <protection hidden="1"/>
    </xf>
    <xf numFmtId="0" fontId="0" fillId="0" borderId="0" xfId="0" applyFont="1" applyFill="1" applyBorder="1" applyAlignment="1" applyProtection="1">
      <alignment horizontal="right"/>
      <protection hidden="1"/>
    </xf>
    <xf numFmtId="0" fontId="12" fillId="0" borderId="0" xfId="0" applyFont="1" applyFill="1" applyBorder="1" applyAlignment="1" applyProtection="1">
      <alignment horizontal="right" vertical="center"/>
      <protection hidden="1"/>
    </xf>
    <xf numFmtId="0" fontId="36" fillId="6" borderId="0" xfId="0" applyFont="1" applyFill="1" applyBorder="1" applyProtection="1">
      <protection hidden="1"/>
    </xf>
    <xf numFmtId="0" fontId="0" fillId="0" borderId="0" xfId="0" applyAlignment="1" applyProtection="1">
      <alignment horizontal="right" vertical="center"/>
      <protection hidden="1"/>
    </xf>
    <xf numFmtId="0" fontId="0" fillId="0" borderId="0" xfId="0" applyFont="1" applyFill="1" applyProtection="1">
      <protection hidden="1"/>
    </xf>
    <xf numFmtId="0" fontId="0" fillId="0" borderId="0" xfId="0" applyFill="1" applyAlignment="1" applyProtection="1">
      <alignment horizontal="right"/>
      <protection hidden="1"/>
    </xf>
    <xf numFmtId="2" fontId="0" fillId="0" borderId="0" xfId="0" applyNumberFormat="1" applyFont="1" applyFill="1" applyAlignment="1" applyProtection="1">
      <alignment horizontal="center"/>
      <protection hidden="1"/>
    </xf>
    <xf numFmtId="2" fontId="0" fillId="0" borderId="0" xfId="0" applyNumberFormat="1" applyFont="1" applyFill="1" applyProtection="1">
      <protection hidden="1"/>
    </xf>
    <xf numFmtId="183" fontId="0" fillId="0" borderId="0" xfId="0" applyNumberFormat="1" applyFont="1" applyFill="1" applyAlignment="1" applyProtection="1">
      <alignment horizontal="center"/>
      <protection hidden="1"/>
    </xf>
    <xf numFmtId="0" fontId="0" fillId="0" borderId="0" xfId="0" applyFill="1" applyAlignment="1" applyProtection="1">
      <alignment horizontal="right" vertical="center"/>
      <protection hidden="1"/>
    </xf>
    <xf numFmtId="0" fontId="44" fillId="6" borderId="0" xfId="0" applyFont="1" applyFill="1" applyProtection="1">
      <protection hidden="1"/>
    </xf>
    <xf numFmtId="0" fontId="0" fillId="6" borderId="0" xfId="0" applyFill="1" applyAlignment="1" applyProtection="1">
      <alignment horizontal="right"/>
      <protection hidden="1"/>
    </xf>
    <xf numFmtId="0" fontId="1" fillId="0" borderId="0" xfId="0" applyFont="1" applyFill="1" applyAlignment="1" applyProtection="1">
      <alignment horizontal="right" vertical="center"/>
      <protection hidden="1"/>
    </xf>
    <xf numFmtId="183" fontId="1" fillId="0" borderId="0" xfId="0" applyNumberFormat="1" applyFont="1" applyFill="1" applyAlignment="1" applyProtection="1">
      <alignment horizontal="center" vertical="center"/>
      <protection hidden="1"/>
    </xf>
    <xf numFmtId="0" fontId="1" fillId="0" borderId="0" xfId="0" applyFont="1" applyFill="1" applyBorder="1" applyAlignment="1" applyProtection="1">
      <alignment horizontal="left" vertical="center"/>
      <protection hidden="1"/>
    </xf>
    <xf numFmtId="0" fontId="1" fillId="0" borderId="0" xfId="0" applyFont="1" applyFill="1" applyAlignment="1" applyProtection="1">
      <alignment horizontal="right"/>
      <protection hidden="1"/>
    </xf>
    <xf numFmtId="0" fontId="0" fillId="0" borderId="0" xfId="0" applyFont="1" applyFill="1" applyAlignment="1" applyProtection="1">
      <alignment horizontal="center"/>
      <protection hidden="1"/>
    </xf>
    <xf numFmtId="2" fontId="0" fillId="0" borderId="0" xfId="0" applyNumberFormat="1" applyFont="1" applyFill="1" applyAlignment="1" applyProtection="1">
      <alignment horizontal="center" vertical="center"/>
      <protection hidden="1"/>
    </xf>
    <xf numFmtId="2" fontId="0" fillId="0" borderId="0" xfId="0" applyNumberFormat="1" applyFill="1" applyAlignment="1" applyProtection="1">
      <alignment horizontal="right"/>
      <protection hidden="1"/>
    </xf>
    <xf numFmtId="0" fontId="0" fillId="0" borderId="0" xfId="0" applyFont="1" applyFill="1" applyAlignment="1" applyProtection="1">
      <alignment horizontal="center" vertical="center"/>
      <protection hidden="1"/>
    </xf>
    <xf numFmtId="2" fontId="1" fillId="0" borderId="0" xfId="0" applyNumberFormat="1" applyFont="1" applyFill="1" applyAlignment="1" applyProtection="1">
      <alignment horizontal="right"/>
      <protection hidden="1"/>
    </xf>
    <xf numFmtId="0" fontId="0" fillId="6" borderId="0" xfId="0" applyFill="1" applyAlignment="1" applyProtection="1">
      <alignment horizontal="left" vertical="center" wrapText="1"/>
      <protection hidden="1"/>
    </xf>
    <xf numFmtId="0" fontId="0" fillId="6" borderId="0" xfId="0" applyFill="1" applyAlignment="1" applyProtection="1">
      <alignment horizontal="left"/>
      <protection hidden="1"/>
    </xf>
    <xf numFmtId="0" fontId="12" fillId="0" borderId="0" xfId="0" applyFont="1" applyFill="1" applyAlignment="1" applyProtection="1">
      <alignment horizontal="right" vertical="center"/>
      <protection hidden="1"/>
    </xf>
    <xf numFmtId="0" fontId="0" fillId="0" borderId="0" xfId="0" applyAlignment="1" applyProtection="1">
      <alignment horizontal="left"/>
    </xf>
    <xf numFmtId="0" fontId="0" fillId="0" borderId="1" xfId="0" applyBorder="1" applyAlignment="1" applyProtection="1">
      <alignment horizontal="center" vertical="center"/>
      <protection hidden="1"/>
    </xf>
    <xf numFmtId="0" fontId="1" fillId="0" borderId="1" xfId="0" applyFont="1" applyBorder="1" applyAlignment="1" applyProtection="1">
      <alignment horizontal="center" vertical="center"/>
      <protection hidden="1"/>
    </xf>
    <xf numFmtId="0" fontId="0" fillId="0" borderId="1" xfId="0" applyBorder="1" applyAlignment="1" applyProtection="1">
      <alignment horizontal="center" vertical="center" wrapText="1"/>
      <protection hidden="1"/>
    </xf>
    <xf numFmtId="0" fontId="0" fillId="0" borderId="1" xfId="0" applyBorder="1" applyAlignment="1">
      <alignment horizontal="center"/>
    </xf>
    <xf numFmtId="0" fontId="0" fillId="0" borderId="1" xfId="0" applyBorder="1" applyAlignment="1">
      <alignment horizontal="center" vertical="center"/>
    </xf>
    <xf numFmtId="165" fontId="0" fillId="0" borderId="4" xfId="0" applyNumberFormat="1" applyBorder="1" applyAlignment="1" applyProtection="1">
      <alignment horizontal="center" vertical="center"/>
    </xf>
    <xf numFmtId="0" fontId="0" fillId="0" borderId="0" xfId="0" applyBorder="1" applyAlignment="1" applyProtection="1">
      <alignment horizontal="center" vertical="center"/>
    </xf>
    <xf numFmtId="0" fontId="0" fillId="0" borderId="11" xfId="0" applyFill="1" applyBorder="1" applyAlignment="1"/>
    <xf numFmtId="0" fontId="1" fillId="0" borderId="0" xfId="0" applyFont="1" applyBorder="1" applyAlignment="1">
      <alignment vertical="center" wrapText="1"/>
    </xf>
    <xf numFmtId="0" fontId="0" fillId="0" borderId="11" xfId="0" applyFill="1" applyBorder="1" applyAlignment="1">
      <alignment wrapText="1"/>
    </xf>
    <xf numFmtId="0" fontId="0" fillId="0" borderId="1" xfId="0" applyFill="1" applyBorder="1" applyAlignment="1">
      <alignment wrapText="1"/>
    </xf>
    <xf numFmtId="0" fontId="1" fillId="0" borderId="0" xfId="0" applyFont="1" applyBorder="1" applyAlignment="1">
      <alignment horizontal="center" vertical="center" wrapText="1"/>
    </xf>
    <xf numFmtId="0" fontId="0" fillId="0" borderId="0" xfId="0" applyFill="1" applyBorder="1" applyAlignment="1">
      <alignment wrapText="1"/>
    </xf>
    <xf numFmtId="0" fontId="0" fillId="0" borderId="1" xfId="0" applyFill="1" applyBorder="1" applyAlignment="1">
      <alignment horizontal="center" wrapText="1"/>
    </xf>
    <xf numFmtId="2" fontId="0" fillId="0" borderId="1" xfId="0" applyNumberFormat="1" applyFill="1" applyBorder="1" applyAlignment="1" applyProtection="1">
      <alignment horizontal="center" vertical="center"/>
      <protection hidden="1"/>
    </xf>
    <xf numFmtId="2" fontId="1" fillId="0" borderId="1" xfId="0" applyNumberFormat="1" applyFont="1" applyBorder="1" applyAlignment="1" applyProtection="1">
      <alignment horizontal="center" vertical="center"/>
      <protection hidden="1"/>
    </xf>
    <xf numFmtId="173" fontId="0" fillId="0" borderId="1" xfId="0" applyNumberFormat="1" applyBorder="1" applyAlignment="1" applyProtection="1">
      <alignment horizontal="center" vertical="center"/>
      <protection hidden="1"/>
    </xf>
    <xf numFmtId="179" fontId="0" fillId="0" borderId="1" xfId="0" applyNumberFormat="1" applyBorder="1" applyAlignment="1" applyProtection="1">
      <alignment horizontal="center" vertical="center"/>
      <protection hidden="1"/>
    </xf>
    <xf numFmtId="172" fontId="0" fillId="0" borderId="1" xfId="0" applyNumberFormat="1" applyBorder="1" applyAlignment="1" applyProtection="1">
      <alignment horizontal="center" vertical="center"/>
      <protection hidden="1"/>
    </xf>
    <xf numFmtId="175" fontId="0" fillId="0" borderId="1" xfId="0" applyNumberFormat="1" applyBorder="1" applyAlignment="1" applyProtection="1">
      <alignment horizontal="center" vertical="center"/>
      <protection hidden="1"/>
    </xf>
    <xf numFmtId="0" fontId="0" fillId="0" borderId="0" xfId="0" applyAlignment="1" applyProtection="1">
      <alignment horizontal="left"/>
      <protection hidden="1"/>
    </xf>
    <xf numFmtId="178" fontId="0" fillId="0" borderId="1" xfId="0" applyNumberFormat="1" applyBorder="1" applyAlignment="1" applyProtection="1">
      <alignment horizontal="center" vertical="center"/>
      <protection hidden="1"/>
    </xf>
    <xf numFmtId="177" fontId="0" fillId="0" borderId="1" xfId="0" applyNumberForma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0" fillId="2" borderId="0" xfId="0" applyFill="1" applyAlignment="1">
      <alignment horizontal="center" vertical="center"/>
    </xf>
    <xf numFmtId="0" fontId="0" fillId="2" borderId="0" xfId="0" applyFill="1" applyBorder="1" applyAlignment="1">
      <alignment horizontal="center" vertical="center"/>
    </xf>
    <xf numFmtId="0" fontId="0" fillId="0" borderId="14" xfId="0" applyBorder="1" applyAlignment="1">
      <alignment horizontal="center" vertical="center"/>
    </xf>
    <xf numFmtId="0" fontId="0" fillId="5" borderId="0" xfId="0" applyFill="1"/>
    <xf numFmtId="0" fontId="0" fillId="3" borderId="0" xfId="0" applyFill="1" applyBorder="1" applyAlignment="1">
      <alignment horizontal="center"/>
    </xf>
    <xf numFmtId="0" fontId="13" fillId="3" borderId="1" xfId="0" applyFont="1" applyFill="1" applyBorder="1" applyAlignment="1">
      <alignment horizontal="left"/>
    </xf>
    <xf numFmtId="0" fontId="0" fillId="3" borderId="1" xfId="0" applyFill="1" applyBorder="1" applyAlignment="1">
      <alignment horizontal="center"/>
    </xf>
    <xf numFmtId="0" fontId="0" fillId="3" borderId="0" xfId="0" applyFill="1" applyAlignment="1">
      <alignment horizontal="center"/>
    </xf>
    <xf numFmtId="0" fontId="0" fillId="2" borderId="0" xfId="0" applyFill="1" applyAlignment="1">
      <alignment horizontal="center"/>
    </xf>
    <xf numFmtId="0" fontId="0" fillId="3" borderId="0" xfId="0" applyFill="1"/>
    <xf numFmtId="0" fontId="19" fillId="3" borderId="0" xfId="0" applyFont="1" applyFill="1" applyProtection="1"/>
    <xf numFmtId="0" fontId="19" fillId="3" borderId="0" xfId="0" applyFont="1" applyFill="1" applyAlignment="1" applyProtection="1">
      <alignment horizontal="right"/>
    </xf>
    <xf numFmtId="0" fontId="0" fillId="5" borderId="0" xfId="0" applyFill="1" applyBorder="1" applyAlignment="1">
      <alignment horizontal="center"/>
    </xf>
    <xf numFmtId="0" fontId="13" fillId="5" borderId="1" xfId="0" applyFont="1" applyFill="1" applyBorder="1" applyAlignment="1">
      <alignment horizontal="left"/>
    </xf>
    <xf numFmtId="0" fontId="0" fillId="5" borderId="1" xfId="0" applyFill="1" applyBorder="1" applyAlignment="1">
      <alignment horizontal="center"/>
    </xf>
    <xf numFmtId="0" fontId="0" fillId="5" borderId="0" xfId="0" applyFill="1" applyAlignment="1">
      <alignment horizontal="center"/>
    </xf>
    <xf numFmtId="0" fontId="19" fillId="5" borderId="0" xfId="0" applyFont="1" applyFill="1" applyAlignment="1" applyProtection="1">
      <alignment horizontal="right"/>
    </xf>
    <xf numFmtId="0" fontId="19" fillId="5" borderId="0" xfId="0" applyFont="1" applyFill="1" applyAlignment="1" applyProtection="1">
      <alignment horizontal="center" vertical="center"/>
    </xf>
    <xf numFmtId="0" fontId="0" fillId="2" borderId="1" xfId="0" applyFill="1" applyBorder="1" applyAlignment="1">
      <alignment horizontal="center" vertical="center"/>
    </xf>
    <xf numFmtId="0" fontId="0" fillId="2" borderId="0" xfId="0" applyFill="1" applyBorder="1" applyAlignment="1">
      <alignment horizontal="left"/>
    </xf>
    <xf numFmtId="0" fontId="0" fillId="2" borderId="0" xfId="0" applyFill="1"/>
    <xf numFmtId="0" fontId="0" fillId="7" borderId="1" xfId="0" applyFill="1" applyBorder="1" applyProtection="1"/>
    <xf numFmtId="0" fontId="9" fillId="0" borderId="0" xfId="0" applyFont="1"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Fill="1" applyBorder="1" applyAlignment="1">
      <alignment horizontal="center"/>
    </xf>
    <xf numFmtId="0" fontId="0" fillId="0" borderId="1" xfId="0" applyBorder="1" applyAlignment="1">
      <alignment horizontal="center"/>
    </xf>
    <xf numFmtId="0" fontId="22" fillId="0" borderId="0" xfId="1" applyAlignment="1" applyProtection="1">
      <alignment horizontal="center"/>
      <protection hidden="1"/>
    </xf>
    <xf numFmtId="0" fontId="1" fillId="0" borderId="0" xfId="0" applyFont="1" applyAlignment="1" applyProtection="1">
      <alignment horizontal="center"/>
      <protection hidden="1"/>
    </xf>
    <xf numFmtId="0" fontId="22" fillId="0" borderId="0" xfId="1" applyAlignment="1" applyProtection="1">
      <alignment horizontal="center"/>
      <protection locked="0"/>
    </xf>
    <xf numFmtId="0" fontId="21" fillId="5" borderId="0" xfId="0" applyFont="1" applyFill="1" applyAlignment="1" applyProtection="1">
      <alignment horizontal="center"/>
      <protection hidden="1"/>
    </xf>
    <xf numFmtId="14" fontId="21" fillId="5" borderId="0" xfId="0" applyNumberFormat="1" applyFont="1" applyFill="1" applyAlignment="1" applyProtection="1">
      <alignment horizontal="center"/>
      <protection hidden="1"/>
    </xf>
    <xf numFmtId="0" fontId="0" fillId="0" borderId="0" xfId="0" applyAlignment="1" applyProtection="1">
      <alignment horizontal="left"/>
    </xf>
    <xf numFmtId="0" fontId="16" fillId="0" borderId="1" xfId="0" applyFont="1" applyBorder="1" applyAlignment="1" applyProtection="1">
      <alignment horizontal="center" vertical="center"/>
    </xf>
    <xf numFmtId="0" fontId="0" fillId="0" borderId="30" xfId="0"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31" xfId="0" applyBorder="1" applyAlignment="1" applyProtection="1">
      <alignment horizontal="center" vertical="center" wrapText="1"/>
      <protection locked="0"/>
    </xf>
    <xf numFmtId="0" fontId="0" fillId="0" borderId="32" xfId="0" applyBorder="1" applyAlignment="1" applyProtection="1">
      <alignment horizontal="center" vertical="center" wrapText="1"/>
      <protection locked="0"/>
    </xf>
    <xf numFmtId="0" fontId="0" fillId="0" borderId="33"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1" fillId="0" borderId="1" xfId="0" applyFont="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24" fillId="0" borderId="0" xfId="0" applyFont="1" applyAlignment="1" applyProtection="1">
      <alignment horizontal="center" vertical="center" wrapText="1"/>
    </xf>
    <xf numFmtId="0" fontId="24" fillId="0" borderId="0" xfId="0" applyFont="1" applyFill="1" applyAlignment="1" applyProtection="1">
      <alignment horizontal="center" vertical="center" wrapText="1"/>
    </xf>
    <xf numFmtId="0" fontId="0" fillId="0" borderId="14" xfId="0" applyBorder="1" applyAlignment="1">
      <alignment horizontal="center" vertical="center" wrapText="1"/>
    </xf>
    <xf numFmtId="0" fontId="28" fillId="0" borderId="0" xfId="0" applyFont="1" applyBorder="1" applyAlignment="1" applyProtection="1">
      <alignment horizontal="center"/>
      <protection hidden="1"/>
    </xf>
    <xf numFmtId="0" fontId="27" fillId="0" borderId="0" xfId="0" applyFont="1" applyProtection="1">
      <protection hidden="1"/>
    </xf>
    <xf numFmtId="0" fontId="27" fillId="0" borderId="21" xfId="0" applyFont="1" applyBorder="1" applyProtection="1">
      <protection hidden="1"/>
    </xf>
    <xf numFmtId="0" fontId="28" fillId="0" borderId="18" xfId="0" applyFont="1" applyBorder="1" applyAlignment="1" applyProtection="1">
      <alignment horizontal="center"/>
      <protection hidden="1"/>
    </xf>
    <xf numFmtId="0" fontId="28" fillId="0" borderId="19" xfId="0" applyFont="1" applyBorder="1" applyAlignment="1" applyProtection="1">
      <alignment horizontal="center"/>
      <protection hidden="1"/>
    </xf>
    <xf numFmtId="0" fontId="28" fillId="0" borderId="20" xfId="0" applyFont="1" applyBorder="1" applyAlignment="1" applyProtection="1">
      <alignment horizontal="center"/>
      <protection hidden="1"/>
    </xf>
    <xf numFmtId="0" fontId="28" fillId="0" borderId="24" xfId="0" applyFont="1" applyBorder="1" applyAlignment="1" applyProtection="1">
      <alignment horizontal="center"/>
      <protection hidden="1"/>
    </xf>
    <xf numFmtId="0" fontId="28" fillId="0" borderId="21" xfId="0" applyFont="1" applyBorder="1" applyAlignment="1" applyProtection="1">
      <alignment horizontal="center"/>
      <protection hidden="1"/>
    </xf>
    <xf numFmtId="0" fontId="28" fillId="0" borderId="25" xfId="0" applyFont="1" applyBorder="1" applyAlignment="1" applyProtection="1">
      <alignment horizontal="center"/>
      <protection hidden="1"/>
    </xf>
    <xf numFmtId="0" fontId="0" fillId="0" borderId="1" xfId="0" applyBorder="1" applyAlignment="1" applyProtection="1">
      <alignment horizontal="center"/>
      <protection hidden="1"/>
    </xf>
    <xf numFmtId="0" fontId="0" fillId="0" borderId="1" xfId="0" applyBorder="1" applyAlignment="1" applyProtection="1">
      <alignment horizontal="center" vertical="center" wrapText="1"/>
      <protection hidden="1"/>
    </xf>
    <xf numFmtId="0" fontId="0" fillId="0" borderId="1" xfId="0" applyBorder="1" applyAlignment="1" applyProtection="1">
      <alignment horizontal="center" vertical="center"/>
      <protection hidden="1"/>
    </xf>
    <xf numFmtId="0" fontId="0" fillId="0" borderId="1" xfId="0" applyFill="1" applyBorder="1" applyAlignment="1" applyProtection="1">
      <alignment horizontal="center"/>
      <protection hidden="1"/>
    </xf>
    <xf numFmtId="0" fontId="1" fillId="0" borderId="1" xfId="0" applyFont="1"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0" fillId="0" borderId="10" xfId="0" applyBorder="1" applyAlignment="1" applyProtection="1">
      <alignment horizontal="left"/>
      <protection hidden="1"/>
    </xf>
    <xf numFmtId="0" fontId="0" fillId="0" borderId="36" xfId="0" applyBorder="1" applyAlignment="1" applyProtection="1">
      <alignment horizontal="left"/>
      <protection hidden="1"/>
    </xf>
    <xf numFmtId="0" fontId="0" fillId="0" borderId="11" xfId="0" applyBorder="1" applyAlignment="1" applyProtection="1">
      <alignment horizontal="left"/>
      <protection hidden="1"/>
    </xf>
    <xf numFmtId="0" fontId="1" fillId="0" borderId="1" xfId="0" applyFont="1" applyBorder="1" applyAlignment="1" applyProtection="1">
      <alignment horizontal="center"/>
      <protection hidden="1"/>
    </xf>
    <xf numFmtId="0" fontId="0" fillId="0" borderId="10" xfId="0" applyBorder="1" applyAlignment="1" applyProtection="1">
      <alignment horizontal="left" vertical="center"/>
      <protection hidden="1"/>
    </xf>
    <xf numFmtId="0" fontId="0" fillId="0" borderId="36"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0" fillId="6" borderId="0" xfId="0" applyFill="1" applyAlignment="1" applyProtection="1">
      <alignment horizontal="left" vertical="center" wrapText="1"/>
      <protection hidden="1"/>
    </xf>
    <xf numFmtId="0" fontId="12" fillId="6" borderId="0" xfId="0" applyFont="1" applyFill="1" applyAlignment="1" applyProtection="1">
      <alignment horizontal="left" vertical="top" wrapText="1"/>
      <protection hidden="1"/>
    </xf>
    <xf numFmtId="0" fontId="41" fillId="0" borderId="0" xfId="0" applyFont="1" applyFill="1" applyAlignment="1" applyProtection="1">
      <alignment horizontal="center" vertical="center"/>
      <protection hidden="1"/>
    </xf>
    <xf numFmtId="0" fontId="42" fillId="0" borderId="0" xfId="0" applyFont="1" applyFill="1" applyAlignment="1" applyProtection="1">
      <protection hidden="1"/>
    </xf>
    <xf numFmtId="0" fontId="0" fillId="0" borderId="0" xfId="0" applyFont="1" applyFill="1" applyBorder="1" applyAlignment="1" applyProtection="1">
      <alignment horizontal="left"/>
      <protection hidden="1"/>
    </xf>
    <xf numFmtId="0" fontId="45" fillId="6" borderId="0" xfId="0" applyFont="1" applyFill="1" applyBorder="1" applyAlignment="1" applyProtection="1">
      <alignment horizontal="left"/>
      <protection hidden="1"/>
    </xf>
    <xf numFmtId="0" fontId="45" fillId="6" borderId="0" xfId="0" applyFont="1" applyFill="1" applyAlignment="1" applyProtection="1">
      <alignment horizontal="left"/>
      <protection hidden="1"/>
    </xf>
    <xf numFmtId="0" fontId="1" fillId="0" borderId="0" xfId="0" applyFont="1" applyAlignment="1" applyProtection="1">
      <alignment horizontal="center" vertical="center"/>
      <protection hidden="1"/>
    </xf>
    <xf numFmtId="0" fontId="1" fillId="0" borderId="10" xfId="0" applyFont="1" applyBorder="1" applyAlignment="1" applyProtection="1">
      <alignment horizontal="center"/>
      <protection hidden="1"/>
    </xf>
    <xf numFmtId="0" fontId="1" fillId="0" borderId="11" xfId="0" applyFont="1" applyBorder="1" applyAlignment="1" applyProtection="1">
      <alignment horizontal="center"/>
      <protection hidden="1"/>
    </xf>
    <xf numFmtId="0" fontId="17" fillId="0" borderId="0" xfId="0" applyFont="1" applyAlignment="1">
      <alignment horizontal="left" vertical="center" wrapText="1"/>
    </xf>
    <xf numFmtId="0" fontId="18" fillId="0" borderId="0" xfId="0" applyFont="1" applyAlignment="1">
      <alignment horizontal="left" vertical="center" wrapText="1"/>
    </xf>
  </cellXfs>
  <cellStyles count="4">
    <cellStyle name="Collegamento ipertestuale" xfId="1" builtinId="8"/>
    <cellStyle name="Migliaia [0]" xfId="2" builtinId="6"/>
    <cellStyle name="Normale" xfId="0" builtinId="0"/>
    <cellStyle name="Normale 3" xfId="3"/>
  </cellStyles>
  <dxfs count="18">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006100"/>
      </font>
      <fill>
        <patternFill>
          <bgColor rgb="FFC6EFCE"/>
        </patternFill>
      </fill>
    </dxf>
    <dxf>
      <font>
        <color rgb="FF006100"/>
      </font>
      <fill>
        <patternFill>
          <bgColor rgb="FFC6EFCE"/>
        </patternFill>
      </fill>
    </dxf>
    <dxf>
      <fill>
        <patternFill>
          <bgColor rgb="FFFFC7CE"/>
        </patternFill>
      </fill>
    </dxf>
    <dxf>
      <font>
        <color rgb="FF006100"/>
      </font>
      <fill>
        <patternFill>
          <bgColor rgb="FFC6EFCE"/>
        </patternFill>
      </fill>
    </dxf>
    <dxf>
      <border>
        <left style="thin">
          <color auto="1"/>
        </left>
        <right style="thin">
          <color auto="1"/>
        </right>
        <top style="thin">
          <color auto="1"/>
        </top>
        <bottom style="thin">
          <color auto="1"/>
        </bottom>
      </border>
    </dxf>
    <dxf>
      <font>
        <color theme="0"/>
      </font>
      <fill>
        <patternFill patternType="solid">
          <bgColor theme="0"/>
        </patternFill>
      </fill>
      <border>
        <left/>
        <right/>
        <top/>
        <bottom/>
        <vertical/>
        <horizontal/>
      </border>
    </dxf>
    <dxf>
      <border>
        <left style="thin">
          <color auto="1"/>
        </left>
        <right style="thin">
          <color auto="1"/>
        </right>
        <top style="thin">
          <color auto="1"/>
        </top>
        <bottom style="thin">
          <color auto="1"/>
        </bottom>
      </border>
    </dxf>
    <dxf>
      <font>
        <color theme="0"/>
      </font>
      <fill>
        <patternFill patternType="solid">
          <bgColor theme="0"/>
        </patternFill>
      </fill>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usernames" Target="revisions/userNam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revisionHeaders" Target="revisions/revisionHeader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Legame costitutivo</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spPr>
            <a:ln w="19050" cap="rnd">
              <a:solidFill>
                <a:schemeClr val="accent1"/>
              </a:solidFill>
              <a:round/>
            </a:ln>
            <a:effectLst/>
          </c:spPr>
          <c:marker>
            <c:symbol val="none"/>
          </c:marker>
          <c:xVal>
            <c:numRef>
              <c:f>'LEGAME COSTITUTIVO'!$E$11:$E$19</c:f>
              <c:numCache>
                <c:formatCode>0.00000</c:formatCode>
                <c:ptCount val="9"/>
                <c:pt idx="0">
                  <c:v>0</c:v>
                </c:pt>
                <c:pt idx="1">
                  <c:v>-2.2499999999999999E-4</c:v>
                </c:pt>
                <c:pt idx="2">
                  <c:v>-4.4999999999999999E-4</c:v>
                </c:pt>
                <c:pt idx="3">
                  <c:v>-6.7500000000000004E-4</c:v>
                </c:pt>
                <c:pt idx="4">
                  <c:v>-8.9999999999999998E-4</c:v>
                </c:pt>
                <c:pt idx="5">
                  <c:v>-1.1249999999999999E-3</c:v>
                </c:pt>
                <c:pt idx="6">
                  <c:v>-1.3500000000000001E-3</c:v>
                </c:pt>
                <c:pt idx="7">
                  <c:v>-1.575E-3</c:v>
                </c:pt>
                <c:pt idx="8">
                  <c:v>-1.8E-3</c:v>
                </c:pt>
              </c:numCache>
            </c:numRef>
          </c:xVal>
          <c:yVal>
            <c:numRef>
              <c:f>'LEGAME COSTITUTIVO'!$F$11:$F$19</c:f>
              <c:numCache>
                <c:formatCode>0</c:formatCode>
                <c:ptCount val="9"/>
                <c:pt idx="0" formatCode="General">
                  <c:v>0</c:v>
                </c:pt>
                <c:pt idx="1">
                  <c:v>-293.40277777777777</c:v>
                </c:pt>
                <c:pt idx="2">
                  <c:v>-547.68518518518511</c:v>
                </c:pt>
                <c:pt idx="3">
                  <c:v>-762.84722222222217</c:v>
                </c:pt>
                <c:pt idx="4">
                  <c:v>-938.8888888888888</c:v>
                </c:pt>
                <c:pt idx="5">
                  <c:v>-1075.8101851851852</c:v>
                </c:pt>
                <c:pt idx="6">
                  <c:v>-1173.6111111111109</c:v>
                </c:pt>
                <c:pt idx="7">
                  <c:v>-1232.2916666666665</c:v>
                </c:pt>
                <c:pt idx="8">
                  <c:v>-1251.8518518518517</c:v>
                </c:pt>
              </c:numCache>
            </c:numRef>
          </c:yVal>
          <c:smooth val="0"/>
          <c:extLst>
            <c:ext xmlns:c16="http://schemas.microsoft.com/office/drawing/2014/chart" uri="{C3380CC4-5D6E-409C-BE32-E72D297353CC}">
              <c16:uniqueId val="{00000000-ECE6-41B1-82D6-92605A1B5F03}"/>
            </c:ext>
          </c:extLst>
        </c:ser>
        <c:ser>
          <c:idx val="1"/>
          <c:order val="1"/>
          <c:spPr>
            <a:ln w="19050" cap="rnd">
              <a:solidFill>
                <a:schemeClr val="accent2"/>
              </a:solidFill>
              <a:round/>
            </a:ln>
            <a:effectLst/>
          </c:spPr>
          <c:marker>
            <c:symbol val="none"/>
          </c:marker>
          <c:xVal>
            <c:numRef>
              <c:f>'LEGAME COSTITUTIVO'!$G$11:$G$19</c:f>
              <c:numCache>
                <c:formatCode>0.0000</c:formatCode>
                <c:ptCount val="9"/>
                <c:pt idx="0">
                  <c:v>-1.8E-3</c:v>
                </c:pt>
                <c:pt idx="1">
                  <c:v>-1.9499999999999999E-3</c:v>
                </c:pt>
                <c:pt idx="2">
                  <c:v>-2.0999999999999999E-3</c:v>
                </c:pt>
                <c:pt idx="3">
                  <c:v>-2.2499999999999998E-3</c:v>
                </c:pt>
                <c:pt idx="4">
                  <c:v>-2.3999999999999998E-3</c:v>
                </c:pt>
                <c:pt idx="5">
                  <c:v>-2.5499999999999997E-3</c:v>
                </c:pt>
                <c:pt idx="6">
                  <c:v>-2.6999999999999997E-3</c:v>
                </c:pt>
                <c:pt idx="7">
                  <c:v>-2.8499999999999997E-3</c:v>
                </c:pt>
                <c:pt idx="8">
                  <c:v>-3.0000000000000001E-3</c:v>
                </c:pt>
              </c:numCache>
            </c:numRef>
          </c:xVal>
          <c:yVal>
            <c:numRef>
              <c:f>'LEGAME COSTITUTIVO'!$H$11:$H$19</c:f>
              <c:numCache>
                <c:formatCode>0</c:formatCode>
                <c:ptCount val="9"/>
                <c:pt idx="0">
                  <c:v>-1251.8518518518517</c:v>
                </c:pt>
                <c:pt idx="1">
                  <c:v>-1243.1584362139915</c:v>
                </c:pt>
                <c:pt idx="2">
                  <c:v>-1217.0781893004116</c:v>
                </c:pt>
                <c:pt idx="3">
                  <c:v>-1173.6111111111113</c:v>
                </c:pt>
                <c:pt idx="4">
                  <c:v>-1112.7572016460904</c:v>
                </c:pt>
                <c:pt idx="5">
                  <c:v>-1034.5164609053495</c:v>
                </c:pt>
                <c:pt idx="6">
                  <c:v>-938.8888888888896</c:v>
                </c:pt>
                <c:pt idx="7">
                  <c:v>-825.87448559670747</c:v>
                </c:pt>
                <c:pt idx="8">
                  <c:v>-695.47325102880677</c:v>
                </c:pt>
              </c:numCache>
            </c:numRef>
          </c:yVal>
          <c:smooth val="0"/>
          <c:extLst>
            <c:ext xmlns:c16="http://schemas.microsoft.com/office/drawing/2014/chart" uri="{C3380CC4-5D6E-409C-BE32-E72D297353CC}">
              <c16:uniqueId val="{00000001-ECE6-41B1-82D6-92605A1B5F03}"/>
            </c:ext>
          </c:extLst>
        </c:ser>
        <c:ser>
          <c:idx val="2"/>
          <c:order val="2"/>
          <c:spPr>
            <a:ln w="19050" cap="rnd">
              <a:solidFill>
                <a:schemeClr val="accent3"/>
              </a:solidFill>
              <a:round/>
            </a:ln>
            <a:effectLst/>
          </c:spPr>
          <c:marker>
            <c:symbol val="none"/>
          </c:marker>
          <c:xVal>
            <c:numRef>
              <c:f>'LEGAME COSTITUTIVO'!$C$11:$C$14</c:f>
              <c:numCache>
                <c:formatCode>General</c:formatCode>
                <c:ptCount val="4"/>
                <c:pt idx="0">
                  <c:v>0</c:v>
                </c:pt>
                <c:pt idx="1">
                  <c:v>1.4999999999999999E-4</c:v>
                </c:pt>
                <c:pt idx="2">
                  <c:v>1.5E-3</c:v>
                </c:pt>
              </c:numCache>
            </c:numRef>
          </c:xVal>
          <c:yVal>
            <c:numRef>
              <c:f>'LEGAME COSTITUTIVO'!$D$11:$D$14</c:f>
              <c:numCache>
                <c:formatCode>0</c:formatCode>
                <c:ptCount val="4"/>
                <c:pt idx="0">
                  <c:v>0</c:v>
                </c:pt>
                <c:pt idx="1">
                  <c:v>195.74999999999997</c:v>
                </c:pt>
                <c:pt idx="2">
                  <c:v>0</c:v>
                </c:pt>
              </c:numCache>
            </c:numRef>
          </c:yVal>
          <c:smooth val="0"/>
          <c:extLst>
            <c:ext xmlns:c16="http://schemas.microsoft.com/office/drawing/2014/chart" uri="{C3380CC4-5D6E-409C-BE32-E72D297353CC}">
              <c16:uniqueId val="{00000002-ECE6-41B1-82D6-92605A1B5F03}"/>
            </c:ext>
          </c:extLst>
        </c:ser>
        <c:dLbls>
          <c:showLegendKey val="0"/>
          <c:showVal val="0"/>
          <c:showCatName val="0"/>
          <c:showSerName val="0"/>
          <c:showPercent val="0"/>
          <c:showBubbleSize val="0"/>
        </c:dLbls>
        <c:axId val="698936144"/>
        <c:axId val="698924176"/>
      </c:scatterChart>
      <c:valAx>
        <c:axId val="6989361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400">
                    <a:latin typeface="Times New Roman" panose="02020603050405020304" pitchFamily="18" charset="0"/>
                    <a:cs typeface="Times New Roman" panose="02020603050405020304" pitchFamily="18" charset="0"/>
                  </a:rPr>
                  <a:t>ε</a:t>
                </a:r>
                <a:endParaRPr lang="it-IT" sz="1400"/>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0.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98924176"/>
        <c:crosses val="autoZero"/>
        <c:crossBetween val="midCat"/>
      </c:valAx>
      <c:valAx>
        <c:axId val="698924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600"/>
                  <a:t>σ</a:t>
                </a:r>
                <a:endParaRPr lang="it-IT" sz="1600"/>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989361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t-IT"/>
              <a:t>Stress Block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spPr>
            <a:ln w="19050" cap="rnd">
              <a:solidFill>
                <a:schemeClr val="accent1"/>
              </a:solidFill>
              <a:round/>
            </a:ln>
            <a:effectLst/>
          </c:spPr>
          <c:marker>
            <c:symbol val="none"/>
          </c:marker>
          <c:xVal>
            <c:numRef>
              <c:f>'FOGLIO DEPOSITO'!$E$66:$E$70</c:f>
              <c:numCache>
                <c:formatCode>General</c:formatCode>
                <c:ptCount val="5"/>
                <c:pt idx="0">
                  <c:v>0</c:v>
                </c:pt>
                <c:pt idx="1">
                  <c:v>-6.9999999999999999E-4</c:v>
                </c:pt>
                <c:pt idx="2">
                  <c:v>-6.9999999999999999E-4</c:v>
                </c:pt>
                <c:pt idx="3">
                  <c:v>-3.5000000000000001E-3</c:v>
                </c:pt>
                <c:pt idx="4">
                  <c:v>-3.5000000000000001E-3</c:v>
                </c:pt>
              </c:numCache>
            </c:numRef>
          </c:xVal>
          <c:yVal>
            <c:numRef>
              <c:f>'FOGLIO DEPOSITO'!$F$66:$F$70</c:f>
              <c:numCache>
                <c:formatCode>General</c:formatCode>
                <c:ptCount val="5"/>
                <c:pt idx="0">
                  <c:v>0</c:v>
                </c:pt>
                <c:pt idx="1">
                  <c:v>0</c:v>
                </c:pt>
                <c:pt idx="2" formatCode="0">
                  <c:v>-1251.8518518518517</c:v>
                </c:pt>
                <c:pt idx="3" formatCode="0">
                  <c:v>-1251.8518518518517</c:v>
                </c:pt>
                <c:pt idx="4">
                  <c:v>0</c:v>
                </c:pt>
              </c:numCache>
            </c:numRef>
          </c:yVal>
          <c:smooth val="0"/>
          <c:extLst>
            <c:ext xmlns:c16="http://schemas.microsoft.com/office/drawing/2014/chart" uri="{C3380CC4-5D6E-409C-BE32-E72D297353CC}">
              <c16:uniqueId val="{00000000-D4A6-43B6-8B6A-531C93568FC8}"/>
            </c:ext>
          </c:extLst>
        </c:ser>
        <c:dLbls>
          <c:showLegendKey val="0"/>
          <c:showVal val="0"/>
          <c:showCatName val="0"/>
          <c:showSerName val="0"/>
          <c:showPercent val="0"/>
          <c:showBubbleSize val="0"/>
        </c:dLbls>
        <c:axId val="698925264"/>
        <c:axId val="698923088"/>
      </c:scatterChart>
      <c:valAx>
        <c:axId val="6989252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800" b="0" i="0" baseline="0">
                    <a:effectLst/>
                  </a:rPr>
                  <a:t>ε</a:t>
                </a:r>
                <a:endParaRPr lang="it-IT">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98923088"/>
        <c:crosses val="autoZero"/>
        <c:crossBetween val="midCat"/>
      </c:valAx>
      <c:valAx>
        <c:axId val="6989230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800" b="0" i="0" baseline="0">
                    <a:effectLst/>
                  </a:rPr>
                  <a:t>σ</a:t>
                </a:r>
                <a:endParaRPr lang="it-IT">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it-IT"/>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6989252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6.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9"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518160</xdr:colOff>
      <xdr:row>3</xdr:row>
      <xdr:rowOff>156138</xdr:rowOff>
    </xdr:to>
    <xdr:pic>
      <xdr:nvPicPr>
        <xdr:cNvPr id="2" name="Immagine 1" descr="Cattura.PNG"/>
        <xdr:cNvPicPr>
          <a:picLocks noChangeAspect="1"/>
        </xdr:cNvPicPr>
      </xdr:nvPicPr>
      <xdr:blipFill>
        <a:blip xmlns:r="http://schemas.openxmlformats.org/officeDocument/2006/relationships" r:embed="rId1" cstate="print"/>
        <a:stretch>
          <a:fillRect/>
        </a:stretch>
      </xdr:blipFill>
      <xdr:spPr>
        <a:xfrm>
          <a:off x="609600" y="190500"/>
          <a:ext cx="5394960" cy="5371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264582</xdr:colOff>
      <xdr:row>23</xdr:row>
      <xdr:rowOff>169331</xdr:rowOff>
    </xdr:from>
    <xdr:to>
      <xdr:col>4</xdr:col>
      <xdr:colOff>964142</xdr:colOff>
      <xdr:row>26</xdr:row>
      <xdr:rowOff>143301</xdr:rowOff>
    </xdr:to>
    <mc:AlternateContent xmlns:mc="http://schemas.openxmlformats.org/markup-compatibility/2006" xmlns:a14="http://schemas.microsoft.com/office/drawing/2010/main">
      <mc:Choice Requires="a14">
        <xdr:sp macro="" textlink="">
          <xdr:nvSpPr>
            <xdr:cNvPr id="3" name="Rettangolo 2"/>
            <xdr:cNvSpPr/>
          </xdr:nvSpPr>
          <xdr:spPr>
            <a:xfrm>
              <a:off x="2889249" y="6085414"/>
              <a:ext cx="1704976" cy="545470"/>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it-IT" sz="1400" i="1">
                        <a:latin typeface="Cambria Math" panose="02040503050406030204" pitchFamily="18" charset="0"/>
                      </a:rPr>
                      <m:t>𝑥</m:t>
                    </m:r>
                    <m:r>
                      <a:rPr lang="it-IT" sz="1400" i="0">
                        <a:latin typeface="Cambria Math" panose="02040503050406030204" pitchFamily="18" charset="0"/>
                      </a:rPr>
                      <m:t>=</m:t>
                    </m:r>
                    <m:f>
                      <m:fPr>
                        <m:ctrlPr>
                          <a:rPr lang="it-IT" sz="1400" i="1">
                            <a:latin typeface="Cambria Math" panose="02040503050406030204" pitchFamily="18" charset="0"/>
                          </a:rPr>
                        </m:ctrlPr>
                      </m:fPr>
                      <m:num>
                        <m:r>
                          <a:rPr lang="it-IT" sz="1400" b="0" i="1">
                            <a:latin typeface="Cambria Math" panose="02040503050406030204" pitchFamily="18" charset="0"/>
                          </a:rPr>
                          <m:t>𝑁</m:t>
                        </m:r>
                      </m:num>
                      <m:den>
                        <m:r>
                          <a:rPr lang="it-IT" sz="1400" i="0">
                            <a:latin typeface="Cambria Math" panose="02040503050406030204" pitchFamily="18" charset="0"/>
                          </a:rPr>
                          <m:t>0.85 </m:t>
                        </m:r>
                        <m:sSub>
                          <m:sSubPr>
                            <m:ctrlPr>
                              <a:rPr lang="it-IT" sz="1400" i="1">
                                <a:latin typeface="Cambria Math" panose="02040503050406030204" pitchFamily="18" charset="0"/>
                              </a:rPr>
                            </m:ctrlPr>
                          </m:sSubPr>
                          <m:e>
                            <m:r>
                              <a:rPr lang="it-IT" sz="1400" i="1">
                                <a:latin typeface="Cambria Math" panose="02040503050406030204" pitchFamily="18" charset="0"/>
                              </a:rPr>
                              <m:t>𝑓</m:t>
                            </m:r>
                          </m:e>
                          <m:sub>
                            <m:r>
                              <a:rPr lang="it-IT" sz="1400" i="1">
                                <a:latin typeface="Cambria Math" panose="02040503050406030204" pitchFamily="18" charset="0"/>
                              </a:rPr>
                              <m:t>𝑑</m:t>
                            </m:r>
                          </m:sub>
                        </m:sSub>
                        <m:r>
                          <a:rPr lang="it-IT" sz="1400" i="0">
                            <a:latin typeface="Cambria Math" panose="02040503050406030204" pitchFamily="18" charset="0"/>
                          </a:rPr>
                          <m:t> </m:t>
                        </m:r>
                        <m:r>
                          <a:rPr lang="it-IT" sz="1400" b="0" i="0">
                            <a:latin typeface="Cambria Math" panose="02040503050406030204" pitchFamily="18" charset="0"/>
                          </a:rPr>
                          <m:t> 0,8 </m:t>
                        </m:r>
                        <m:r>
                          <m:rPr>
                            <m:sty m:val="p"/>
                          </m:rPr>
                          <a:rPr lang="it-IT" sz="1400" b="0" i="0">
                            <a:latin typeface="Cambria Math" panose="02040503050406030204" pitchFamily="18" charset="0"/>
                          </a:rPr>
                          <m:t>t</m:t>
                        </m:r>
                        <m:r>
                          <a:rPr lang="it-IT" sz="1400" i="0">
                            <a:latin typeface="Cambria Math" panose="02040503050406030204" pitchFamily="18" charset="0"/>
                          </a:rPr>
                          <m:t> </m:t>
                        </m:r>
                      </m:den>
                    </m:f>
                  </m:oMath>
                </m:oMathPara>
              </a14:m>
              <a:endParaRPr lang="it-IT" sz="1400"/>
            </a:p>
          </xdr:txBody>
        </xdr:sp>
      </mc:Choice>
      <mc:Fallback xmlns="">
        <xdr:sp macro="" textlink="">
          <xdr:nvSpPr>
            <xdr:cNvPr id="3" name="Rettangolo 2"/>
            <xdr:cNvSpPr/>
          </xdr:nvSpPr>
          <xdr:spPr>
            <a:xfrm>
              <a:off x="2889249" y="6085414"/>
              <a:ext cx="1704976" cy="545470"/>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𝑥=</a:t>
              </a:r>
              <a:r>
                <a:rPr lang="it-IT" sz="1400" b="0" i="0">
                  <a:latin typeface="Cambria Math" panose="02040503050406030204" pitchFamily="18" charset="0"/>
                </a:rPr>
                <a:t>𝑁/(</a:t>
              </a:r>
              <a:r>
                <a:rPr lang="it-IT" sz="1400" i="0">
                  <a:latin typeface="Cambria Math" panose="02040503050406030204" pitchFamily="18" charset="0"/>
                </a:rPr>
                <a:t>0.85 𝑓_𝑑  </a:t>
              </a:r>
              <a:r>
                <a:rPr lang="it-IT" sz="1400" b="0" i="0">
                  <a:latin typeface="Cambria Math" panose="02040503050406030204" pitchFamily="18" charset="0"/>
                </a:rPr>
                <a:t> 0,8 t</a:t>
              </a:r>
              <a:r>
                <a:rPr lang="it-IT" sz="1400" i="0">
                  <a:latin typeface="Cambria Math" panose="02040503050406030204" pitchFamily="18" charset="0"/>
                </a:rPr>
                <a:t> )</a:t>
              </a:r>
              <a:endParaRPr lang="it-IT" sz="1400"/>
            </a:p>
          </xdr:txBody>
        </xdr:sp>
      </mc:Fallback>
    </mc:AlternateContent>
    <xdr:clientData/>
  </xdr:twoCellAnchor>
  <xdr:twoCellAnchor>
    <xdr:from>
      <xdr:col>3</xdr:col>
      <xdr:colOff>306915</xdr:colOff>
      <xdr:row>30</xdr:row>
      <xdr:rowOff>0</xdr:rowOff>
    </xdr:from>
    <xdr:to>
      <xdr:col>5</xdr:col>
      <xdr:colOff>46565</xdr:colOff>
      <xdr:row>49</xdr:row>
      <xdr:rowOff>260</xdr:rowOff>
    </xdr:to>
    <mc:AlternateContent xmlns:mc="http://schemas.openxmlformats.org/markup-compatibility/2006" xmlns:a14="http://schemas.microsoft.com/office/drawing/2010/main">
      <mc:Choice Requires="a14">
        <xdr:sp macro="" textlink="">
          <xdr:nvSpPr>
            <xdr:cNvPr id="4" name="Rettangolo 3"/>
            <xdr:cNvSpPr/>
          </xdr:nvSpPr>
          <xdr:spPr>
            <a:xfrm>
              <a:off x="2931582" y="7249583"/>
              <a:ext cx="1866900" cy="571760"/>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i="1">
                            <a:latin typeface="Cambria Math" panose="02040503050406030204" pitchFamily="18" charset="0"/>
                          </a:rPr>
                        </m:ctrlPr>
                      </m:sSubPr>
                      <m:e>
                        <m:sSub>
                          <m:sSubPr>
                            <m:ctrlPr>
                              <a:rPr lang="it-IT" sz="1400" i="1">
                                <a:latin typeface="Cambria Math" panose="02040503050406030204" pitchFamily="18" charset="0"/>
                              </a:rPr>
                            </m:ctrlPr>
                          </m:sSubPr>
                          <m:e>
                            <m:r>
                              <a:rPr lang="it-IT" sz="1400" b="0" i="1">
                                <a:latin typeface="Cambria Math" panose="02040503050406030204" pitchFamily="18" charset="0"/>
                              </a:rPr>
                              <m:t>𝑀</m:t>
                            </m:r>
                          </m:e>
                          <m:sub>
                            <m:r>
                              <a:rPr lang="it-IT" sz="1400" b="0" i="1">
                                <a:latin typeface="Cambria Math" panose="02040503050406030204" pitchFamily="18" charset="0"/>
                              </a:rPr>
                              <m:t>𝑅𝑑</m:t>
                            </m:r>
                          </m:sub>
                        </m:sSub>
                        <m:r>
                          <a:rPr lang="it-IT" sz="1400" b="0" i="1">
                            <a:latin typeface="Cambria Math" panose="02040503050406030204" pitchFamily="18" charset="0"/>
                          </a:rPr>
                          <m:t>=</m:t>
                        </m:r>
                        <m:r>
                          <a:rPr lang="it-IT" sz="1400" i="1">
                            <a:latin typeface="Cambria Math" panose="02040503050406030204" pitchFamily="18" charset="0"/>
                          </a:rPr>
                          <m:t>𝐹</m:t>
                        </m:r>
                      </m:e>
                      <m:sub>
                        <m:r>
                          <a:rPr lang="it-IT" sz="1400" i="1">
                            <a:latin typeface="Cambria Math" panose="02040503050406030204" pitchFamily="18" charset="0"/>
                          </a:rPr>
                          <m:t>𝑐</m:t>
                        </m:r>
                      </m:sub>
                    </m:sSub>
                    <m:r>
                      <a:rPr lang="it-IT" sz="1400" i="0">
                        <a:latin typeface="Cambria Math" panose="02040503050406030204" pitchFamily="18" charset="0"/>
                      </a:rPr>
                      <m:t>  </m:t>
                    </m:r>
                    <m:d>
                      <m:dPr>
                        <m:begChr m:val="["/>
                        <m:endChr m:val="]"/>
                        <m:ctrlPr>
                          <a:rPr lang="it-IT" sz="1400" i="1">
                            <a:latin typeface="Cambria Math" panose="02040503050406030204" pitchFamily="18" charset="0"/>
                          </a:rPr>
                        </m:ctrlPr>
                      </m:dPr>
                      <m:e>
                        <m:f>
                          <m:fPr>
                            <m:ctrlPr>
                              <a:rPr lang="it-IT" sz="1400" i="1">
                                <a:latin typeface="Cambria Math" panose="02040503050406030204" pitchFamily="18" charset="0"/>
                              </a:rPr>
                            </m:ctrlPr>
                          </m:fPr>
                          <m:num>
                            <m:r>
                              <a:rPr lang="it-IT" sz="1400" b="0" i="1">
                                <a:latin typeface="Cambria Math" panose="02040503050406030204" pitchFamily="18" charset="0"/>
                              </a:rPr>
                              <m:t>𝑙</m:t>
                            </m:r>
                          </m:num>
                          <m:den>
                            <m:r>
                              <a:rPr lang="it-IT" sz="1400" i="0">
                                <a:latin typeface="Cambria Math" panose="02040503050406030204" pitchFamily="18" charset="0"/>
                              </a:rPr>
                              <m:t>2</m:t>
                            </m:r>
                          </m:den>
                        </m:f>
                        <m:r>
                          <a:rPr lang="it-IT" sz="1400" i="0">
                            <a:latin typeface="Cambria Math" panose="02040503050406030204" pitchFamily="18" charset="0"/>
                          </a:rPr>
                          <m:t>−0.4 </m:t>
                        </m:r>
                        <m:r>
                          <a:rPr lang="it-IT" sz="1400" i="1">
                            <a:latin typeface="Cambria Math" panose="02040503050406030204" pitchFamily="18" charset="0"/>
                          </a:rPr>
                          <m:t>𝑥</m:t>
                        </m:r>
                      </m:e>
                    </m:d>
                  </m:oMath>
                </m:oMathPara>
              </a14:m>
              <a:endParaRPr lang="it-IT" sz="1400"/>
            </a:p>
          </xdr:txBody>
        </xdr:sp>
      </mc:Choice>
      <mc:Fallback xmlns="">
        <xdr:sp macro="" textlink="">
          <xdr:nvSpPr>
            <xdr:cNvPr id="4" name="Rettangolo 3"/>
            <xdr:cNvSpPr/>
          </xdr:nvSpPr>
          <xdr:spPr>
            <a:xfrm>
              <a:off x="2931582" y="7249583"/>
              <a:ext cx="1866900" cy="571760"/>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a:t>
              </a:r>
              <a:r>
                <a:rPr lang="it-IT" sz="1400" b="0" i="0">
                  <a:latin typeface="Cambria Math" panose="02040503050406030204" pitchFamily="18" charset="0"/>
                </a:rPr>
                <a:t>𝑀_𝑅𝑑=</a:t>
              </a:r>
              <a:r>
                <a:rPr lang="it-IT" sz="1400" i="0">
                  <a:latin typeface="Cambria Math" panose="02040503050406030204" pitchFamily="18" charset="0"/>
                </a:rPr>
                <a:t>𝐹〗_𝑐   [</a:t>
              </a:r>
              <a:r>
                <a:rPr lang="it-IT" sz="1400" b="0" i="0">
                  <a:latin typeface="Cambria Math" panose="02040503050406030204" pitchFamily="18" charset="0"/>
                </a:rPr>
                <a:t>𝑙/</a:t>
              </a:r>
              <a:r>
                <a:rPr lang="it-IT" sz="1400" i="0">
                  <a:latin typeface="Cambria Math" panose="02040503050406030204" pitchFamily="18" charset="0"/>
                </a:rPr>
                <a:t>2−0.4 𝑥]</a:t>
              </a:r>
              <a:endParaRPr lang="it-IT" sz="1400"/>
            </a:p>
          </xdr:txBody>
        </xdr:sp>
      </mc:Fallback>
    </mc:AlternateContent>
    <xdr:clientData/>
  </xdr:twoCellAnchor>
  <xdr:twoCellAnchor>
    <xdr:from>
      <xdr:col>3</xdr:col>
      <xdr:colOff>222250</xdr:colOff>
      <xdr:row>27</xdr:row>
      <xdr:rowOff>116417</xdr:rowOff>
    </xdr:from>
    <xdr:to>
      <xdr:col>4</xdr:col>
      <xdr:colOff>1102784</xdr:colOff>
      <xdr:row>29</xdr:row>
      <xdr:rowOff>46913</xdr:rowOff>
    </xdr:to>
    <mc:AlternateContent xmlns:mc="http://schemas.openxmlformats.org/markup-compatibility/2006" xmlns:a14="http://schemas.microsoft.com/office/drawing/2010/main">
      <mc:Choice Requires="a14">
        <xdr:sp macro="" textlink="">
          <xdr:nvSpPr>
            <xdr:cNvPr id="5" name="Rettangolo 4"/>
            <xdr:cNvSpPr/>
          </xdr:nvSpPr>
          <xdr:spPr>
            <a:xfrm>
              <a:off x="2846917" y="6794500"/>
              <a:ext cx="1885950" cy="311496"/>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i="1">
                            <a:latin typeface="Cambria Math" panose="02040503050406030204" pitchFamily="18" charset="0"/>
                          </a:rPr>
                        </m:ctrlPr>
                      </m:sSubPr>
                      <m:e>
                        <m:r>
                          <a:rPr lang="it-IT" sz="1400" i="1">
                            <a:latin typeface="Cambria Math" panose="02040503050406030204" pitchFamily="18" charset="0"/>
                          </a:rPr>
                          <m:t>𝐹</m:t>
                        </m:r>
                      </m:e>
                      <m:sub>
                        <m:r>
                          <a:rPr lang="it-IT" sz="1400" i="1">
                            <a:latin typeface="Cambria Math" panose="02040503050406030204" pitchFamily="18" charset="0"/>
                          </a:rPr>
                          <m:t>𝑐</m:t>
                        </m:r>
                      </m:sub>
                    </m:sSub>
                    <m:r>
                      <a:rPr lang="it-IT" sz="1400" i="0">
                        <a:latin typeface="Cambria Math" panose="02040503050406030204" pitchFamily="18" charset="0"/>
                      </a:rPr>
                      <m:t> </m:t>
                    </m:r>
                    <m:r>
                      <a:rPr lang="it-IT" sz="1400" b="0" i="0">
                        <a:latin typeface="Cambria Math" panose="02040503050406030204" pitchFamily="18" charset="0"/>
                      </a:rPr>
                      <m:t>=0,85 </m:t>
                    </m:r>
                    <m:sSub>
                      <m:sSubPr>
                        <m:ctrlPr>
                          <a:rPr lang="it-IT" sz="1400" b="0" i="1">
                            <a:latin typeface="Cambria Math" panose="02040503050406030204" pitchFamily="18" charset="0"/>
                          </a:rPr>
                        </m:ctrlPr>
                      </m:sSubPr>
                      <m:e>
                        <m:r>
                          <a:rPr lang="it-IT" sz="1400" b="0" i="1">
                            <a:latin typeface="Cambria Math" panose="02040503050406030204" pitchFamily="18" charset="0"/>
                          </a:rPr>
                          <m:t>𝑓</m:t>
                        </m:r>
                      </m:e>
                      <m:sub>
                        <m:r>
                          <a:rPr lang="it-IT" sz="1400" b="0" i="1">
                            <a:latin typeface="Cambria Math" panose="02040503050406030204" pitchFamily="18" charset="0"/>
                          </a:rPr>
                          <m:t>𝑑</m:t>
                        </m:r>
                      </m:sub>
                    </m:sSub>
                    <m:r>
                      <a:rPr lang="it-IT" sz="1400" b="0" i="1">
                        <a:latin typeface="Cambria Math" panose="02040503050406030204" pitchFamily="18" charset="0"/>
                      </a:rPr>
                      <m:t> 0,8 </m:t>
                    </m:r>
                    <m:r>
                      <a:rPr lang="it-IT" sz="1400" b="0" i="1">
                        <a:latin typeface="Cambria Math" panose="02040503050406030204" pitchFamily="18" charset="0"/>
                      </a:rPr>
                      <m:t>𝑥</m:t>
                    </m:r>
                    <m:r>
                      <a:rPr lang="it-IT" sz="1400" b="0" i="1">
                        <a:latin typeface="Cambria Math" panose="02040503050406030204" pitchFamily="18" charset="0"/>
                      </a:rPr>
                      <m:t> </m:t>
                    </m:r>
                    <m:r>
                      <a:rPr lang="it-IT" sz="1400" b="0" i="1">
                        <a:latin typeface="Cambria Math" panose="02040503050406030204" pitchFamily="18" charset="0"/>
                      </a:rPr>
                      <m:t>𝑡</m:t>
                    </m:r>
                  </m:oMath>
                </m:oMathPara>
              </a14:m>
              <a:endParaRPr lang="it-IT" sz="1400"/>
            </a:p>
          </xdr:txBody>
        </xdr:sp>
      </mc:Choice>
      <mc:Fallback xmlns="">
        <xdr:sp macro="" textlink="">
          <xdr:nvSpPr>
            <xdr:cNvPr id="5" name="Rettangolo 4"/>
            <xdr:cNvSpPr/>
          </xdr:nvSpPr>
          <xdr:spPr>
            <a:xfrm>
              <a:off x="2846917" y="6794500"/>
              <a:ext cx="1885950" cy="311496"/>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𝐹_𝑐  </a:t>
              </a:r>
              <a:r>
                <a:rPr lang="it-IT" sz="1400" b="0" i="0">
                  <a:latin typeface="Cambria Math" panose="02040503050406030204" pitchFamily="18" charset="0"/>
                </a:rPr>
                <a:t>=0,85 𝑓_𝑑  0,8 𝑥 𝑡</a:t>
              </a:r>
              <a:endParaRPr lang="it-IT" sz="1400"/>
            </a:p>
          </xdr:txBody>
        </xdr:sp>
      </mc:Fallback>
    </mc:AlternateContent>
    <xdr:clientData/>
  </xdr:twoCellAnchor>
  <xdr:twoCellAnchor>
    <xdr:from>
      <xdr:col>2</xdr:col>
      <xdr:colOff>719669</xdr:colOff>
      <xdr:row>18</xdr:row>
      <xdr:rowOff>126998</xdr:rowOff>
    </xdr:from>
    <xdr:to>
      <xdr:col>4</xdr:col>
      <xdr:colOff>785286</xdr:colOff>
      <xdr:row>20</xdr:row>
      <xdr:rowOff>169333</xdr:rowOff>
    </xdr:to>
    <mc:AlternateContent xmlns:mc="http://schemas.openxmlformats.org/markup-compatibility/2006" xmlns:a14="http://schemas.microsoft.com/office/drawing/2010/main">
      <mc:Choice Requires="a14">
        <xdr:sp macro="" textlink="">
          <xdr:nvSpPr>
            <xdr:cNvPr id="7" name="Rettangolo 6"/>
            <xdr:cNvSpPr/>
          </xdr:nvSpPr>
          <xdr:spPr>
            <a:xfrm>
              <a:off x="2338919" y="5090581"/>
              <a:ext cx="2076450" cy="423335"/>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i="1">
                            <a:latin typeface="Cambria Math" panose="02040503050406030204" pitchFamily="18" charset="0"/>
                          </a:rPr>
                        </m:ctrlPr>
                      </m:sSubPr>
                      <m:e>
                        <m:r>
                          <a:rPr lang="it-IT" sz="1400" b="0" i="1">
                            <a:latin typeface="Cambria Math" panose="02040503050406030204" pitchFamily="18" charset="0"/>
                          </a:rPr>
                          <m:t>𝑁</m:t>
                        </m:r>
                        <m:r>
                          <a:rPr lang="it-IT" sz="1400" b="0" i="1">
                            <a:latin typeface="Cambria Math" panose="02040503050406030204" pitchFamily="18" charset="0"/>
                          </a:rPr>
                          <m:t>=</m:t>
                        </m:r>
                        <m:r>
                          <a:rPr lang="it-IT" sz="1400" i="1">
                            <a:latin typeface="Cambria Math" panose="02040503050406030204" pitchFamily="18" charset="0"/>
                          </a:rPr>
                          <m:t>𝐹</m:t>
                        </m:r>
                      </m:e>
                      <m:sub>
                        <m:r>
                          <a:rPr lang="it-IT" sz="1400" i="1">
                            <a:latin typeface="Cambria Math" panose="02040503050406030204" pitchFamily="18" charset="0"/>
                          </a:rPr>
                          <m:t>𝑐</m:t>
                        </m:r>
                      </m:sub>
                    </m:sSub>
                    <m:r>
                      <a:rPr lang="it-IT" sz="1400" i="0">
                        <a:latin typeface="Cambria Math" panose="02040503050406030204" pitchFamily="18" charset="0"/>
                      </a:rPr>
                      <m:t> </m:t>
                    </m:r>
                  </m:oMath>
                </m:oMathPara>
              </a14:m>
              <a:endParaRPr lang="it-IT" sz="1400"/>
            </a:p>
          </xdr:txBody>
        </xdr:sp>
      </mc:Choice>
      <mc:Fallback xmlns="">
        <xdr:sp macro="" textlink="">
          <xdr:nvSpPr>
            <xdr:cNvPr id="7" name="Rettangolo 6"/>
            <xdr:cNvSpPr/>
          </xdr:nvSpPr>
          <xdr:spPr>
            <a:xfrm>
              <a:off x="2338919" y="5090581"/>
              <a:ext cx="2076450" cy="423335"/>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a:t>
              </a:r>
              <a:r>
                <a:rPr lang="it-IT" sz="1400" b="0" i="0">
                  <a:latin typeface="Cambria Math" panose="02040503050406030204" pitchFamily="18" charset="0"/>
                </a:rPr>
                <a:t>𝑁=</a:t>
              </a:r>
              <a:r>
                <a:rPr lang="it-IT" sz="1400" i="0">
                  <a:latin typeface="Cambria Math" panose="02040503050406030204" pitchFamily="18" charset="0"/>
                </a:rPr>
                <a:t>𝐹〗_𝑐  </a:t>
              </a:r>
              <a:endParaRPr lang="it-IT" sz="1400"/>
            </a:p>
          </xdr:txBody>
        </xdr:sp>
      </mc:Fallback>
    </mc:AlternateContent>
    <xdr:clientData/>
  </xdr:twoCellAnchor>
  <xdr:twoCellAnchor editAs="oneCell">
    <xdr:from>
      <xdr:col>1</xdr:col>
      <xdr:colOff>0</xdr:colOff>
      <xdr:row>66</xdr:row>
      <xdr:rowOff>0</xdr:rowOff>
    </xdr:from>
    <xdr:to>
      <xdr:col>2</xdr:col>
      <xdr:colOff>375237</xdr:colOff>
      <xdr:row>89</xdr:row>
      <xdr:rowOff>124492</xdr:rowOff>
    </xdr:to>
    <xdr:pic>
      <xdr:nvPicPr>
        <xdr:cNvPr id="8" name="Immagin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948836" y="11299336"/>
          <a:ext cx="4505992" cy="1380654"/>
        </a:xfrm>
        <a:prstGeom prst="rect">
          <a:avLst/>
        </a:prstGeom>
      </xdr:spPr>
    </xdr:pic>
    <xdr:clientData/>
  </xdr:twoCellAnchor>
  <xdr:twoCellAnchor>
    <xdr:from>
      <xdr:col>3</xdr:col>
      <xdr:colOff>74082</xdr:colOff>
      <xdr:row>73</xdr:row>
      <xdr:rowOff>52916</xdr:rowOff>
    </xdr:from>
    <xdr:to>
      <xdr:col>4</xdr:col>
      <xdr:colOff>773642</xdr:colOff>
      <xdr:row>76</xdr:row>
      <xdr:rowOff>26886</xdr:rowOff>
    </xdr:to>
    <mc:AlternateContent xmlns:mc="http://schemas.openxmlformats.org/markup-compatibility/2006" xmlns:a14="http://schemas.microsoft.com/office/drawing/2010/main">
      <mc:Choice Requires="a14">
        <xdr:sp macro="" textlink="">
          <xdr:nvSpPr>
            <xdr:cNvPr id="9" name="Rettangolo 8"/>
            <xdr:cNvSpPr/>
          </xdr:nvSpPr>
          <xdr:spPr>
            <a:xfrm>
              <a:off x="2434165" y="12837583"/>
              <a:ext cx="1704977" cy="545470"/>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it-IT" sz="1400" i="1">
                        <a:latin typeface="Cambria Math" panose="02040503050406030204" pitchFamily="18" charset="0"/>
                      </a:rPr>
                      <m:t>𝑥</m:t>
                    </m:r>
                    <m:r>
                      <a:rPr lang="it-IT" sz="1400" i="0">
                        <a:latin typeface="Cambria Math" panose="02040503050406030204" pitchFamily="18" charset="0"/>
                      </a:rPr>
                      <m:t>=</m:t>
                    </m:r>
                    <m:f>
                      <m:fPr>
                        <m:ctrlPr>
                          <a:rPr lang="it-IT" sz="1400" i="1">
                            <a:latin typeface="Cambria Math" panose="02040503050406030204" pitchFamily="18" charset="0"/>
                          </a:rPr>
                        </m:ctrlPr>
                      </m:fPr>
                      <m:num>
                        <m:r>
                          <a:rPr lang="it-IT" sz="1400" b="0" i="1">
                            <a:latin typeface="Cambria Math" panose="02040503050406030204" pitchFamily="18" charset="0"/>
                          </a:rPr>
                          <m:t>𝑁</m:t>
                        </m:r>
                      </m:num>
                      <m:den>
                        <m:r>
                          <a:rPr lang="it-IT" sz="1400" i="0">
                            <a:latin typeface="Cambria Math" panose="02040503050406030204" pitchFamily="18" charset="0"/>
                          </a:rPr>
                          <m:t>0.85 </m:t>
                        </m:r>
                        <m:sSub>
                          <m:sSubPr>
                            <m:ctrlPr>
                              <a:rPr lang="it-IT" sz="1400" i="1">
                                <a:latin typeface="Cambria Math" panose="02040503050406030204" pitchFamily="18" charset="0"/>
                              </a:rPr>
                            </m:ctrlPr>
                          </m:sSubPr>
                          <m:e>
                            <m:r>
                              <a:rPr lang="it-IT" sz="1400" i="1">
                                <a:latin typeface="Cambria Math" panose="02040503050406030204" pitchFamily="18" charset="0"/>
                              </a:rPr>
                              <m:t>𝑓</m:t>
                            </m:r>
                          </m:e>
                          <m:sub>
                            <m:r>
                              <a:rPr lang="it-IT" sz="1400" i="1">
                                <a:latin typeface="Cambria Math" panose="02040503050406030204" pitchFamily="18" charset="0"/>
                              </a:rPr>
                              <m:t>𝑑</m:t>
                            </m:r>
                          </m:sub>
                        </m:sSub>
                        <m:r>
                          <a:rPr lang="it-IT" sz="1400" i="0">
                            <a:latin typeface="Cambria Math" panose="02040503050406030204" pitchFamily="18" charset="0"/>
                          </a:rPr>
                          <m:t> </m:t>
                        </m:r>
                        <m:r>
                          <a:rPr lang="it-IT" sz="1400" b="0" i="0">
                            <a:latin typeface="Cambria Math" panose="02040503050406030204" pitchFamily="18" charset="0"/>
                          </a:rPr>
                          <m:t> 0,8 </m:t>
                        </m:r>
                        <m:r>
                          <m:rPr>
                            <m:sty m:val="p"/>
                          </m:rPr>
                          <a:rPr lang="it-IT" sz="1400" b="0" i="0">
                            <a:latin typeface="Cambria Math" panose="02040503050406030204" pitchFamily="18" charset="0"/>
                          </a:rPr>
                          <m:t>l</m:t>
                        </m:r>
                        <m:r>
                          <a:rPr lang="it-IT" sz="1400" i="0">
                            <a:latin typeface="Cambria Math" panose="02040503050406030204" pitchFamily="18" charset="0"/>
                          </a:rPr>
                          <m:t> </m:t>
                        </m:r>
                      </m:den>
                    </m:f>
                  </m:oMath>
                </m:oMathPara>
              </a14:m>
              <a:endParaRPr lang="it-IT" sz="1400"/>
            </a:p>
          </xdr:txBody>
        </xdr:sp>
      </mc:Choice>
      <mc:Fallback xmlns="">
        <xdr:sp macro="" textlink="">
          <xdr:nvSpPr>
            <xdr:cNvPr id="9" name="Rettangolo 8"/>
            <xdr:cNvSpPr/>
          </xdr:nvSpPr>
          <xdr:spPr>
            <a:xfrm>
              <a:off x="2434165" y="12837583"/>
              <a:ext cx="1704977" cy="545470"/>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𝑥=</a:t>
              </a:r>
              <a:r>
                <a:rPr lang="it-IT" sz="1400" b="0" i="0">
                  <a:latin typeface="Cambria Math" panose="02040503050406030204" pitchFamily="18" charset="0"/>
                </a:rPr>
                <a:t>𝑁/(</a:t>
              </a:r>
              <a:r>
                <a:rPr lang="it-IT" sz="1400" i="0">
                  <a:latin typeface="Cambria Math" panose="02040503050406030204" pitchFamily="18" charset="0"/>
                </a:rPr>
                <a:t>0.85 𝑓_𝑑  </a:t>
              </a:r>
              <a:r>
                <a:rPr lang="it-IT" sz="1400" b="0" i="0">
                  <a:latin typeface="Cambria Math" panose="02040503050406030204" pitchFamily="18" charset="0"/>
                </a:rPr>
                <a:t> 0,8 l</a:t>
              </a:r>
              <a:r>
                <a:rPr lang="it-IT" sz="1400" i="0">
                  <a:latin typeface="Cambria Math" panose="02040503050406030204" pitchFamily="18" charset="0"/>
                </a:rPr>
                <a:t> )</a:t>
              </a:r>
              <a:endParaRPr lang="it-IT" sz="1400"/>
            </a:p>
          </xdr:txBody>
        </xdr:sp>
      </mc:Fallback>
    </mc:AlternateContent>
    <xdr:clientData/>
  </xdr:twoCellAnchor>
  <xdr:twoCellAnchor>
    <xdr:from>
      <xdr:col>3</xdr:col>
      <xdr:colOff>201082</xdr:colOff>
      <xdr:row>79</xdr:row>
      <xdr:rowOff>95249</xdr:rowOff>
    </xdr:from>
    <xdr:to>
      <xdr:col>4</xdr:col>
      <xdr:colOff>1062566</xdr:colOff>
      <xdr:row>82</xdr:row>
      <xdr:rowOff>10998</xdr:rowOff>
    </xdr:to>
    <mc:AlternateContent xmlns:mc="http://schemas.openxmlformats.org/markup-compatibility/2006" xmlns:a14="http://schemas.microsoft.com/office/drawing/2010/main">
      <mc:Choice Requires="a14">
        <xdr:sp macro="" textlink="">
          <xdr:nvSpPr>
            <xdr:cNvPr id="10" name="Rettangolo 9"/>
            <xdr:cNvSpPr/>
          </xdr:nvSpPr>
          <xdr:spPr>
            <a:xfrm>
              <a:off x="2561165" y="14022916"/>
              <a:ext cx="1866901" cy="487249"/>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i="1">
                            <a:latin typeface="Cambria Math" panose="02040503050406030204" pitchFamily="18" charset="0"/>
                          </a:rPr>
                        </m:ctrlPr>
                      </m:sSubPr>
                      <m:e>
                        <m:sSub>
                          <m:sSubPr>
                            <m:ctrlPr>
                              <a:rPr lang="it-IT" sz="1400" i="1">
                                <a:latin typeface="Cambria Math" panose="02040503050406030204" pitchFamily="18" charset="0"/>
                              </a:rPr>
                            </m:ctrlPr>
                          </m:sSubPr>
                          <m:e>
                            <m:r>
                              <a:rPr lang="it-IT" sz="1400" b="0" i="1">
                                <a:latin typeface="Cambria Math" panose="02040503050406030204" pitchFamily="18" charset="0"/>
                              </a:rPr>
                              <m:t>𝑀</m:t>
                            </m:r>
                          </m:e>
                          <m:sub>
                            <m:r>
                              <a:rPr lang="it-IT" sz="1400" b="0" i="1">
                                <a:latin typeface="Cambria Math" panose="02040503050406030204" pitchFamily="18" charset="0"/>
                              </a:rPr>
                              <m:t>𝑅𝑑</m:t>
                            </m:r>
                          </m:sub>
                        </m:sSub>
                        <m:r>
                          <a:rPr lang="it-IT" sz="1400" b="0" i="1">
                            <a:latin typeface="Cambria Math" panose="02040503050406030204" pitchFamily="18" charset="0"/>
                          </a:rPr>
                          <m:t>=</m:t>
                        </m:r>
                        <m:r>
                          <a:rPr lang="it-IT" sz="1400" i="1">
                            <a:latin typeface="Cambria Math" panose="02040503050406030204" pitchFamily="18" charset="0"/>
                          </a:rPr>
                          <m:t>𝐹</m:t>
                        </m:r>
                      </m:e>
                      <m:sub>
                        <m:r>
                          <a:rPr lang="it-IT" sz="1400" i="1">
                            <a:latin typeface="Cambria Math" panose="02040503050406030204" pitchFamily="18" charset="0"/>
                          </a:rPr>
                          <m:t>𝑐</m:t>
                        </m:r>
                      </m:sub>
                    </m:sSub>
                    <m:r>
                      <a:rPr lang="it-IT" sz="1400" i="0">
                        <a:latin typeface="Cambria Math" panose="02040503050406030204" pitchFamily="18" charset="0"/>
                      </a:rPr>
                      <m:t>  </m:t>
                    </m:r>
                    <m:d>
                      <m:dPr>
                        <m:begChr m:val="["/>
                        <m:endChr m:val="]"/>
                        <m:ctrlPr>
                          <a:rPr lang="it-IT" sz="1400" i="1">
                            <a:latin typeface="Cambria Math" panose="02040503050406030204" pitchFamily="18" charset="0"/>
                          </a:rPr>
                        </m:ctrlPr>
                      </m:dPr>
                      <m:e>
                        <m:f>
                          <m:fPr>
                            <m:ctrlPr>
                              <a:rPr lang="it-IT" sz="1400" i="1">
                                <a:latin typeface="Cambria Math" panose="02040503050406030204" pitchFamily="18" charset="0"/>
                              </a:rPr>
                            </m:ctrlPr>
                          </m:fPr>
                          <m:num>
                            <m:r>
                              <a:rPr lang="it-IT" sz="1400" b="0" i="1">
                                <a:latin typeface="Cambria Math" panose="02040503050406030204" pitchFamily="18" charset="0"/>
                              </a:rPr>
                              <m:t>𝑡</m:t>
                            </m:r>
                          </m:num>
                          <m:den>
                            <m:r>
                              <a:rPr lang="it-IT" sz="1400" i="0">
                                <a:latin typeface="Cambria Math" panose="02040503050406030204" pitchFamily="18" charset="0"/>
                              </a:rPr>
                              <m:t>2</m:t>
                            </m:r>
                          </m:den>
                        </m:f>
                        <m:r>
                          <a:rPr lang="it-IT" sz="1400" i="0">
                            <a:latin typeface="Cambria Math" panose="02040503050406030204" pitchFamily="18" charset="0"/>
                          </a:rPr>
                          <m:t>−0.4 </m:t>
                        </m:r>
                        <m:r>
                          <a:rPr lang="it-IT" sz="1400" i="1">
                            <a:latin typeface="Cambria Math" panose="02040503050406030204" pitchFamily="18" charset="0"/>
                          </a:rPr>
                          <m:t>𝑥</m:t>
                        </m:r>
                      </m:e>
                    </m:d>
                  </m:oMath>
                </m:oMathPara>
              </a14:m>
              <a:endParaRPr lang="it-IT" sz="1400"/>
            </a:p>
          </xdr:txBody>
        </xdr:sp>
      </mc:Choice>
      <mc:Fallback xmlns="">
        <xdr:sp macro="" textlink="">
          <xdr:nvSpPr>
            <xdr:cNvPr id="10" name="Rettangolo 9"/>
            <xdr:cNvSpPr/>
          </xdr:nvSpPr>
          <xdr:spPr>
            <a:xfrm>
              <a:off x="2561165" y="14022916"/>
              <a:ext cx="1866901" cy="487249"/>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a:t>
              </a:r>
              <a:r>
                <a:rPr lang="it-IT" sz="1400" b="0" i="0">
                  <a:latin typeface="Cambria Math" panose="02040503050406030204" pitchFamily="18" charset="0"/>
                </a:rPr>
                <a:t>𝑀_𝑅𝑑=</a:t>
              </a:r>
              <a:r>
                <a:rPr lang="it-IT" sz="1400" i="0">
                  <a:latin typeface="Cambria Math" panose="02040503050406030204" pitchFamily="18" charset="0"/>
                </a:rPr>
                <a:t>𝐹〗_𝑐   [</a:t>
              </a:r>
              <a:r>
                <a:rPr lang="it-IT" sz="1400" b="0" i="0">
                  <a:latin typeface="Cambria Math" panose="02040503050406030204" pitchFamily="18" charset="0"/>
                </a:rPr>
                <a:t>𝑡/</a:t>
              </a:r>
              <a:r>
                <a:rPr lang="it-IT" sz="1400" i="0">
                  <a:latin typeface="Cambria Math" panose="02040503050406030204" pitchFamily="18" charset="0"/>
                </a:rPr>
                <a:t>2−0.4 𝑥]</a:t>
              </a:r>
              <a:endParaRPr lang="it-IT" sz="1400"/>
            </a:p>
          </xdr:txBody>
        </xdr:sp>
      </mc:Fallback>
    </mc:AlternateContent>
    <xdr:clientData/>
  </xdr:twoCellAnchor>
  <xdr:twoCellAnchor>
    <xdr:from>
      <xdr:col>3</xdr:col>
      <xdr:colOff>52916</xdr:colOff>
      <xdr:row>76</xdr:row>
      <xdr:rowOff>179916</xdr:rowOff>
    </xdr:from>
    <xdr:to>
      <xdr:col>4</xdr:col>
      <xdr:colOff>933450</xdr:colOff>
      <xdr:row>78</xdr:row>
      <xdr:rowOff>110412</xdr:rowOff>
    </xdr:to>
    <mc:AlternateContent xmlns:mc="http://schemas.openxmlformats.org/markup-compatibility/2006" xmlns:a14="http://schemas.microsoft.com/office/drawing/2010/main">
      <mc:Choice Requires="a14">
        <xdr:sp macro="" textlink="">
          <xdr:nvSpPr>
            <xdr:cNvPr id="11" name="Rettangolo 10"/>
            <xdr:cNvSpPr/>
          </xdr:nvSpPr>
          <xdr:spPr>
            <a:xfrm>
              <a:off x="2412999" y="13536083"/>
              <a:ext cx="1885951" cy="311496"/>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i="1">
                            <a:latin typeface="Cambria Math" panose="02040503050406030204" pitchFamily="18" charset="0"/>
                          </a:rPr>
                        </m:ctrlPr>
                      </m:sSubPr>
                      <m:e>
                        <m:r>
                          <a:rPr lang="it-IT" sz="1400" i="1">
                            <a:latin typeface="Cambria Math" panose="02040503050406030204" pitchFamily="18" charset="0"/>
                          </a:rPr>
                          <m:t>𝐹</m:t>
                        </m:r>
                      </m:e>
                      <m:sub>
                        <m:r>
                          <a:rPr lang="it-IT" sz="1400" i="1">
                            <a:latin typeface="Cambria Math" panose="02040503050406030204" pitchFamily="18" charset="0"/>
                          </a:rPr>
                          <m:t>𝑐</m:t>
                        </m:r>
                      </m:sub>
                    </m:sSub>
                    <m:r>
                      <a:rPr lang="it-IT" sz="1400" i="0">
                        <a:latin typeface="Cambria Math" panose="02040503050406030204" pitchFamily="18" charset="0"/>
                      </a:rPr>
                      <m:t> </m:t>
                    </m:r>
                    <m:r>
                      <a:rPr lang="it-IT" sz="1400" b="0" i="0">
                        <a:latin typeface="Cambria Math" panose="02040503050406030204" pitchFamily="18" charset="0"/>
                      </a:rPr>
                      <m:t>=0,85 </m:t>
                    </m:r>
                    <m:sSub>
                      <m:sSubPr>
                        <m:ctrlPr>
                          <a:rPr lang="it-IT" sz="1400" b="0" i="1">
                            <a:latin typeface="Cambria Math" panose="02040503050406030204" pitchFamily="18" charset="0"/>
                          </a:rPr>
                        </m:ctrlPr>
                      </m:sSubPr>
                      <m:e>
                        <m:r>
                          <a:rPr lang="it-IT" sz="1400" b="0" i="1">
                            <a:latin typeface="Cambria Math" panose="02040503050406030204" pitchFamily="18" charset="0"/>
                          </a:rPr>
                          <m:t>𝑓</m:t>
                        </m:r>
                      </m:e>
                      <m:sub>
                        <m:r>
                          <a:rPr lang="it-IT" sz="1400" b="0" i="1">
                            <a:latin typeface="Cambria Math" panose="02040503050406030204" pitchFamily="18" charset="0"/>
                          </a:rPr>
                          <m:t>𝑑</m:t>
                        </m:r>
                      </m:sub>
                    </m:sSub>
                    <m:r>
                      <a:rPr lang="it-IT" sz="1400" b="0" i="1">
                        <a:latin typeface="Cambria Math" panose="02040503050406030204" pitchFamily="18" charset="0"/>
                      </a:rPr>
                      <m:t> 0,8 </m:t>
                    </m:r>
                    <m:r>
                      <a:rPr lang="it-IT" sz="1400" b="0" i="1">
                        <a:latin typeface="Cambria Math" panose="02040503050406030204" pitchFamily="18" charset="0"/>
                      </a:rPr>
                      <m:t>𝑥</m:t>
                    </m:r>
                    <m:r>
                      <a:rPr lang="it-IT" sz="1400" b="0" i="1">
                        <a:latin typeface="Cambria Math" panose="02040503050406030204" pitchFamily="18" charset="0"/>
                      </a:rPr>
                      <m:t> </m:t>
                    </m:r>
                    <m:r>
                      <a:rPr lang="it-IT" sz="1400" b="0" i="1">
                        <a:latin typeface="Cambria Math" panose="02040503050406030204" pitchFamily="18" charset="0"/>
                      </a:rPr>
                      <m:t>𝑙</m:t>
                    </m:r>
                  </m:oMath>
                </m:oMathPara>
              </a14:m>
              <a:endParaRPr lang="it-IT" sz="1400"/>
            </a:p>
          </xdr:txBody>
        </xdr:sp>
      </mc:Choice>
      <mc:Fallback xmlns="">
        <xdr:sp macro="" textlink="">
          <xdr:nvSpPr>
            <xdr:cNvPr id="11" name="Rettangolo 10"/>
            <xdr:cNvSpPr/>
          </xdr:nvSpPr>
          <xdr:spPr>
            <a:xfrm>
              <a:off x="2412999" y="13536083"/>
              <a:ext cx="1885951" cy="311496"/>
            </a:xfrm>
            <a:prstGeom prst="rect">
              <a:avLst/>
            </a:prstGeom>
          </xdr:spPr>
          <xdr:txBody>
            <a:bodyPr wrap="square">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𝐹_𝑐  </a:t>
              </a:r>
              <a:r>
                <a:rPr lang="it-IT" sz="1400" b="0" i="0">
                  <a:latin typeface="Cambria Math" panose="02040503050406030204" pitchFamily="18" charset="0"/>
                </a:rPr>
                <a:t>=0,85 𝑓_𝑑  0,8 𝑥 𝑙</a:t>
              </a:r>
              <a:endParaRPr lang="it-IT" sz="1400"/>
            </a:p>
          </xdr:txBody>
        </xdr:sp>
      </mc:Fallback>
    </mc:AlternateContent>
    <xdr:clientData/>
  </xdr:twoCellAnchor>
  <xdr:twoCellAnchor>
    <xdr:from>
      <xdr:col>2</xdr:col>
      <xdr:colOff>550335</xdr:colOff>
      <xdr:row>68</xdr:row>
      <xdr:rowOff>21166</xdr:rowOff>
    </xdr:from>
    <xdr:to>
      <xdr:col>4</xdr:col>
      <xdr:colOff>615952</xdr:colOff>
      <xdr:row>69</xdr:row>
      <xdr:rowOff>169333</xdr:rowOff>
    </xdr:to>
    <mc:AlternateContent xmlns:mc="http://schemas.openxmlformats.org/markup-compatibility/2006" xmlns:a14="http://schemas.microsoft.com/office/drawing/2010/main">
      <mc:Choice Requires="a14">
        <xdr:sp macro="" textlink="">
          <xdr:nvSpPr>
            <xdr:cNvPr id="12" name="Rettangolo 11"/>
            <xdr:cNvSpPr/>
          </xdr:nvSpPr>
          <xdr:spPr>
            <a:xfrm>
              <a:off x="1905002" y="11853333"/>
              <a:ext cx="2076450" cy="338667"/>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i="1">
                            <a:latin typeface="Cambria Math" panose="02040503050406030204" pitchFamily="18" charset="0"/>
                          </a:rPr>
                        </m:ctrlPr>
                      </m:sSubPr>
                      <m:e>
                        <m:r>
                          <a:rPr lang="it-IT" sz="1400" b="0" i="1">
                            <a:latin typeface="Cambria Math" panose="02040503050406030204" pitchFamily="18" charset="0"/>
                          </a:rPr>
                          <m:t>𝑁</m:t>
                        </m:r>
                        <m:r>
                          <a:rPr lang="it-IT" sz="1400" b="0" i="1">
                            <a:latin typeface="Cambria Math" panose="02040503050406030204" pitchFamily="18" charset="0"/>
                          </a:rPr>
                          <m:t>=</m:t>
                        </m:r>
                        <m:r>
                          <a:rPr lang="it-IT" sz="1400" i="1">
                            <a:latin typeface="Cambria Math" panose="02040503050406030204" pitchFamily="18" charset="0"/>
                          </a:rPr>
                          <m:t>𝐹</m:t>
                        </m:r>
                      </m:e>
                      <m:sub>
                        <m:r>
                          <a:rPr lang="it-IT" sz="1400" i="1">
                            <a:latin typeface="Cambria Math" panose="02040503050406030204" pitchFamily="18" charset="0"/>
                          </a:rPr>
                          <m:t>𝑐</m:t>
                        </m:r>
                      </m:sub>
                    </m:sSub>
                    <m:r>
                      <a:rPr lang="it-IT" sz="1400" i="0">
                        <a:latin typeface="Cambria Math" panose="02040503050406030204" pitchFamily="18" charset="0"/>
                      </a:rPr>
                      <m:t> </m:t>
                    </m:r>
                  </m:oMath>
                </m:oMathPara>
              </a14:m>
              <a:endParaRPr lang="it-IT" sz="1400"/>
            </a:p>
          </xdr:txBody>
        </xdr:sp>
      </mc:Choice>
      <mc:Fallback xmlns="">
        <xdr:sp macro="" textlink="">
          <xdr:nvSpPr>
            <xdr:cNvPr id="12" name="Rettangolo 11"/>
            <xdr:cNvSpPr/>
          </xdr:nvSpPr>
          <xdr:spPr>
            <a:xfrm>
              <a:off x="1905002" y="11853333"/>
              <a:ext cx="2076450" cy="338667"/>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i="0">
                  <a:latin typeface="Cambria Math" panose="02040503050406030204" pitchFamily="18" charset="0"/>
                </a:rPr>
                <a:t>〖</a:t>
              </a:r>
              <a:r>
                <a:rPr lang="it-IT" sz="1400" b="0" i="0">
                  <a:latin typeface="Cambria Math" panose="02040503050406030204" pitchFamily="18" charset="0"/>
                </a:rPr>
                <a:t>𝑁=</a:t>
              </a:r>
              <a:r>
                <a:rPr lang="it-IT" sz="1400" i="0">
                  <a:latin typeface="Cambria Math" panose="02040503050406030204" pitchFamily="18" charset="0"/>
                </a:rPr>
                <a:t>𝐹〗_𝑐  </a:t>
              </a:r>
              <a:endParaRPr lang="it-IT" sz="1400"/>
            </a:p>
          </xdr:txBody>
        </xdr:sp>
      </mc:Fallback>
    </mc:AlternateContent>
    <xdr:clientData/>
  </xdr:twoCellAnchor>
  <xdr:twoCellAnchor>
    <xdr:from>
      <xdr:col>2</xdr:col>
      <xdr:colOff>846667</xdr:colOff>
      <xdr:row>20</xdr:row>
      <xdr:rowOff>127001</xdr:rowOff>
    </xdr:from>
    <xdr:to>
      <xdr:col>4</xdr:col>
      <xdr:colOff>912284</xdr:colOff>
      <xdr:row>22</xdr:row>
      <xdr:rowOff>63503</xdr:rowOff>
    </xdr:to>
    <mc:AlternateContent xmlns:mc="http://schemas.openxmlformats.org/markup-compatibility/2006" xmlns:a14="http://schemas.microsoft.com/office/drawing/2010/main">
      <mc:Choice Requires="a14">
        <xdr:sp macro="" textlink="">
          <xdr:nvSpPr>
            <xdr:cNvPr id="13" name="Rettangolo 12"/>
            <xdr:cNvSpPr/>
          </xdr:nvSpPr>
          <xdr:spPr>
            <a:xfrm>
              <a:off x="2465917" y="5471584"/>
              <a:ext cx="2076450" cy="317502"/>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b="0" i="1" kern="1200">
                            <a:solidFill>
                              <a:schemeClr val="tx1"/>
                            </a:solidFill>
                            <a:effectLst/>
                            <a:latin typeface="Cambria Math" panose="02040503050406030204" pitchFamily="18" charset="0"/>
                            <a:ea typeface="+mn-ea"/>
                            <a:cs typeface="+mn-cs"/>
                          </a:rPr>
                        </m:ctrlPr>
                      </m:sSubPr>
                      <m:e>
                        <m:r>
                          <a:rPr lang="it-IT" sz="1400" b="0" i="1" kern="1200">
                            <a:solidFill>
                              <a:schemeClr val="tx1"/>
                            </a:solidFill>
                            <a:effectLst/>
                            <a:latin typeface="Cambria Math" panose="02040503050406030204" pitchFamily="18" charset="0"/>
                            <a:ea typeface="+mn-ea"/>
                            <a:cs typeface="+mn-cs"/>
                          </a:rPr>
                          <m:t>𝜎</m:t>
                        </m:r>
                      </m:e>
                      <m:sub>
                        <m:r>
                          <a:rPr lang="it-IT" sz="1400" b="0" i="1" kern="1200">
                            <a:solidFill>
                              <a:schemeClr val="tx1"/>
                            </a:solidFill>
                            <a:effectLst/>
                            <a:latin typeface="Cambria Math" panose="02040503050406030204" pitchFamily="18" charset="0"/>
                            <a:ea typeface="+mn-ea"/>
                            <a:cs typeface="+mn-cs"/>
                          </a:rPr>
                          <m:t>𝑚𝑒𝑑𝑖𝑜</m:t>
                        </m:r>
                      </m:sub>
                    </m:sSub>
                    <m:r>
                      <a:rPr lang="it-IT" sz="1400" b="0" i="1" kern="1200">
                        <a:solidFill>
                          <a:schemeClr val="tx1"/>
                        </a:solidFill>
                        <a:effectLst/>
                        <a:latin typeface="Cambria Math" panose="02040503050406030204" pitchFamily="18" charset="0"/>
                        <a:ea typeface="+mn-ea"/>
                        <a:cs typeface="+mn-cs"/>
                      </a:rPr>
                      <m:t>=</m:t>
                    </m:r>
                    <m:f>
                      <m:fPr>
                        <m:ctrlPr>
                          <a:rPr lang="it-IT" sz="1400" i="1">
                            <a:latin typeface="Cambria Math" panose="02040503050406030204" pitchFamily="18" charset="0"/>
                          </a:rPr>
                        </m:ctrlPr>
                      </m:fPr>
                      <m:num>
                        <m:r>
                          <a:rPr lang="it-IT" sz="1400" b="0" i="1">
                            <a:latin typeface="Cambria Math" panose="02040503050406030204" pitchFamily="18" charset="0"/>
                          </a:rPr>
                          <m:t>𝑁</m:t>
                        </m:r>
                      </m:num>
                      <m:den>
                        <m:r>
                          <a:rPr lang="it-IT" sz="1400" b="0" i="1">
                            <a:latin typeface="Cambria Math" panose="02040503050406030204" pitchFamily="18" charset="0"/>
                          </a:rPr>
                          <m:t>𝑙</m:t>
                        </m:r>
                        <m:r>
                          <a:rPr lang="it-IT" sz="1400" b="0" i="1">
                            <a:latin typeface="Cambria Math" panose="02040503050406030204" pitchFamily="18" charset="0"/>
                          </a:rPr>
                          <m:t> </m:t>
                        </m:r>
                        <m:r>
                          <a:rPr lang="it-IT" sz="1400" b="0" i="1">
                            <a:latin typeface="Cambria Math" panose="02040503050406030204" pitchFamily="18" charset="0"/>
                          </a:rPr>
                          <m:t>𝑡</m:t>
                        </m:r>
                      </m:den>
                    </m:f>
                  </m:oMath>
                </m:oMathPara>
              </a14:m>
              <a:endParaRPr lang="it-IT" sz="1400"/>
            </a:p>
          </xdr:txBody>
        </xdr:sp>
      </mc:Choice>
      <mc:Fallback xmlns="">
        <xdr:sp macro="" textlink="">
          <xdr:nvSpPr>
            <xdr:cNvPr id="13" name="Rettangolo 12"/>
            <xdr:cNvSpPr/>
          </xdr:nvSpPr>
          <xdr:spPr>
            <a:xfrm>
              <a:off x="2465917" y="5471584"/>
              <a:ext cx="2076450" cy="317502"/>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b="0" i="0" kern="1200">
                  <a:solidFill>
                    <a:schemeClr val="tx1"/>
                  </a:solidFill>
                  <a:effectLst/>
                  <a:latin typeface="+mn-lt"/>
                  <a:ea typeface="+mn-ea"/>
                  <a:cs typeface="+mn-cs"/>
                </a:rPr>
                <a:t>𝜎_𝑚𝑒𝑑𝑖𝑜</a:t>
              </a:r>
              <a:r>
                <a:rPr lang="it-IT" sz="1400" b="0" i="0" kern="1200">
                  <a:solidFill>
                    <a:schemeClr val="tx1"/>
                  </a:solidFill>
                  <a:effectLst/>
                  <a:latin typeface="Cambria Math" panose="02040503050406030204" pitchFamily="18" charset="0"/>
                  <a:ea typeface="+mn-ea"/>
                  <a:cs typeface="+mn-cs"/>
                </a:rPr>
                <a:t>=</a:t>
              </a:r>
              <a:r>
                <a:rPr lang="it-IT" sz="1400" b="0" i="0">
                  <a:latin typeface="Cambria Math" panose="02040503050406030204" pitchFamily="18" charset="0"/>
                </a:rPr>
                <a:t>𝑁/(𝑙 𝑡)</a:t>
              </a:r>
              <a:endParaRPr lang="it-IT" sz="1400"/>
            </a:p>
          </xdr:txBody>
        </xdr:sp>
      </mc:Fallback>
    </mc:AlternateContent>
    <xdr:clientData/>
  </xdr:twoCellAnchor>
  <xdr:twoCellAnchor>
    <xdr:from>
      <xdr:col>2</xdr:col>
      <xdr:colOff>645583</xdr:colOff>
      <xdr:row>70</xdr:row>
      <xdr:rowOff>21166</xdr:rowOff>
    </xdr:from>
    <xdr:to>
      <xdr:col>4</xdr:col>
      <xdr:colOff>711200</xdr:colOff>
      <xdr:row>71</xdr:row>
      <xdr:rowOff>148168</xdr:rowOff>
    </xdr:to>
    <mc:AlternateContent xmlns:mc="http://schemas.openxmlformats.org/markup-compatibility/2006" xmlns:a14="http://schemas.microsoft.com/office/drawing/2010/main">
      <mc:Choice Requires="a14">
        <xdr:sp macro="" textlink="">
          <xdr:nvSpPr>
            <xdr:cNvPr id="15" name="Rettangolo 14"/>
            <xdr:cNvSpPr/>
          </xdr:nvSpPr>
          <xdr:spPr>
            <a:xfrm>
              <a:off x="2000250" y="12234333"/>
              <a:ext cx="2076450" cy="317502"/>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it-IT" sz="1400" b="0" i="1" kern="1200">
                            <a:solidFill>
                              <a:schemeClr val="tx1"/>
                            </a:solidFill>
                            <a:effectLst/>
                            <a:latin typeface="Cambria Math" panose="02040503050406030204" pitchFamily="18" charset="0"/>
                            <a:ea typeface="+mn-ea"/>
                            <a:cs typeface="+mn-cs"/>
                          </a:rPr>
                        </m:ctrlPr>
                      </m:sSubPr>
                      <m:e>
                        <m:r>
                          <a:rPr lang="it-IT" sz="1400" b="0" i="1" kern="1200">
                            <a:solidFill>
                              <a:schemeClr val="tx1"/>
                            </a:solidFill>
                            <a:effectLst/>
                            <a:latin typeface="Cambria Math" panose="02040503050406030204" pitchFamily="18" charset="0"/>
                            <a:ea typeface="+mn-ea"/>
                            <a:cs typeface="+mn-cs"/>
                          </a:rPr>
                          <m:t>𝜎</m:t>
                        </m:r>
                      </m:e>
                      <m:sub>
                        <m:r>
                          <a:rPr lang="it-IT" sz="1400" b="0" i="1" kern="1200">
                            <a:solidFill>
                              <a:schemeClr val="tx1"/>
                            </a:solidFill>
                            <a:effectLst/>
                            <a:latin typeface="Cambria Math" panose="02040503050406030204" pitchFamily="18" charset="0"/>
                            <a:ea typeface="+mn-ea"/>
                            <a:cs typeface="+mn-cs"/>
                          </a:rPr>
                          <m:t>𝑚𝑒𝑑𝑖𝑜</m:t>
                        </m:r>
                      </m:sub>
                    </m:sSub>
                    <m:r>
                      <a:rPr lang="it-IT" sz="1400" b="0" i="1" kern="1200">
                        <a:solidFill>
                          <a:schemeClr val="tx1"/>
                        </a:solidFill>
                        <a:effectLst/>
                        <a:latin typeface="Cambria Math" panose="02040503050406030204" pitchFamily="18" charset="0"/>
                        <a:ea typeface="+mn-ea"/>
                        <a:cs typeface="+mn-cs"/>
                      </a:rPr>
                      <m:t>=</m:t>
                    </m:r>
                    <m:f>
                      <m:fPr>
                        <m:ctrlPr>
                          <a:rPr lang="it-IT" sz="1400" i="1">
                            <a:latin typeface="Cambria Math" panose="02040503050406030204" pitchFamily="18" charset="0"/>
                          </a:rPr>
                        </m:ctrlPr>
                      </m:fPr>
                      <m:num>
                        <m:r>
                          <a:rPr lang="it-IT" sz="1400" b="0" i="1">
                            <a:latin typeface="Cambria Math" panose="02040503050406030204" pitchFamily="18" charset="0"/>
                          </a:rPr>
                          <m:t>𝑁</m:t>
                        </m:r>
                      </m:num>
                      <m:den>
                        <m:r>
                          <a:rPr lang="it-IT" sz="1400" b="0" i="1">
                            <a:latin typeface="Cambria Math" panose="02040503050406030204" pitchFamily="18" charset="0"/>
                          </a:rPr>
                          <m:t>𝑙</m:t>
                        </m:r>
                        <m:r>
                          <a:rPr lang="it-IT" sz="1400" b="0" i="1">
                            <a:latin typeface="Cambria Math" panose="02040503050406030204" pitchFamily="18" charset="0"/>
                          </a:rPr>
                          <m:t> </m:t>
                        </m:r>
                        <m:r>
                          <a:rPr lang="it-IT" sz="1400" b="0" i="1">
                            <a:latin typeface="Cambria Math" panose="02040503050406030204" pitchFamily="18" charset="0"/>
                          </a:rPr>
                          <m:t>𝑡</m:t>
                        </m:r>
                      </m:den>
                    </m:f>
                  </m:oMath>
                </m:oMathPara>
              </a14:m>
              <a:endParaRPr lang="it-IT" sz="1400"/>
            </a:p>
          </xdr:txBody>
        </xdr:sp>
      </mc:Choice>
      <mc:Fallback xmlns="">
        <xdr:sp macro="" textlink="">
          <xdr:nvSpPr>
            <xdr:cNvPr id="15" name="Rettangolo 14"/>
            <xdr:cNvSpPr/>
          </xdr:nvSpPr>
          <xdr:spPr>
            <a:xfrm>
              <a:off x="2000250" y="12234333"/>
              <a:ext cx="2076450" cy="317502"/>
            </a:xfrm>
            <a:prstGeom prst="rect">
              <a:avLst/>
            </a:prstGeom>
          </xdr:spPr>
          <xdr:txBody>
            <a:bodyPr wrap="square">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it-IT" sz="1400" b="0" i="0" kern="1200">
                  <a:solidFill>
                    <a:schemeClr val="tx1"/>
                  </a:solidFill>
                  <a:effectLst/>
                  <a:latin typeface="+mn-lt"/>
                  <a:ea typeface="+mn-ea"/>
                  <a:cs typeface="+mn-cs"/>
                </a:rPr>
                <a:t>𝜎_𝑚𝑒𝑑𝑖𝑜</a:t>
              </a:r>
              <a:r>
                <a:rPr lang="it-IT" sz="1400" b="0" i="0" kern="1200">
                  <a:solidFill>
                    <a:schemeClr val="tx1"/>
                  </a:solidFill>
                  <a:effectLst/>
                  <a:latin typeface="Cambria Math" panose="02040503050406030204" pitchFamily="18" charset="0"/>
                  <a:ea typeface="+mn-ea"/>
                  <a:cs typeface="+mn-cs"/>
                </a:rPr>
                <a:t>=</a:t>
              </a:r>
              <a:r>
                <a:rPr lang="it-IT" sz="1400" b="0" i="0">
                  <a:latin typeface="Cambria Math" panose="02040503050406030204" pitchFamily="18" charset="0"/>
                </a:rPr>
                <a:t>𝑁/(𝑙 𝑡)</a:t>
              </a:r>
              <a:endParaRPr lang="it-IT" sz="1400"/>
            </a:p>
          </xdr:txBody>
        </xdr:sp>
      </mc:Fallback>
    </mc:AlternateContent>
    <xdr:clientData/>
  </xdr:twoCellAnchor>
  <xdr:oneCellAnchor>
    <xdr:from>
      <xdr:col>3</xdr:col>
      <xdr:colOff>1068919</xdr:colOff>
      <xdr:row>52</xdr:row>
      <xdr:rowOff>42334</xdr:rowOff>
    </xdr:from>
    <xdr:ext cx="3005666" cy="636521"/>
    <mc:AlternateContent xmlns:mc="http://schemas.openxmlformats.org/markup-compatibility/2006" xmlns:a14="http://schemas.microsoft.com/office/drawing/2010/main">
      <mc:Choice Requires="a14">
        <xdr:sp macro="" textlink="">
          <xdr:nvSpPr>
            <xdr:cNvPr id="16" name="CasellaDiTesto 15"/>
            <xdr:cNvSpPr txBox="1"/>
          </xdr:nvSpPr>
          <xdr:spPr>
            <a:xfrm>
              <a:off x="3302002" y="10128251"/>
              <a:ext cx="3005666" cy="6365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it-IT" sz="1400" i="1">
                            <a:latin typeface="Cambria Math" panose="02040503050406030204" pitchFamily="18" charset="0"/>
                          </a:rPr>
                        </m:ctrlPr>
                      </m:sSubPr>
                      <m:e>
                        <m:r>
                          <a:rPr lang="it-IT" sz="1400" b="0" i="1">
                            <a:latin typeface="Cambria Math" panose="02040503050406030204" pitchFamily="18" charset="0"/>
                          </a:rPr>
                          <m:t>𝑉</m:t>
                        </m:r>
                      </m:e>
                      <m:sub>
                        <m:r>
                          <a:rPr lang="it-IT" sz="1400" b="0" i="1">
                            <a:latin typeface="Cambria Math" panose="02040503050406030204" pitchFamily="18" charset="0"/>
                          </a:rPr>
                          <m:t>𝑅𝑑</m:t>
                        </m:r>
                      </m:sub>
                    </m:sSub>
                    <m:r>
                      <a:rPr lang="it-IT" sz="1400" b="0" i="1">
                        <a:latin typeface="Cambria Math" panose="02040503050406030204" pitchFamily="18" charset="0"/>
                      </a:rPr>
                      <m:t>=</m:t>
                    </m:r>
                    <m:r>
                      <a:rPr lang="it-IT" sz="1400" b="0" i="1">
                        <a:latin typeface="Cambria Math" panose="02040503050406030204" pitchFamily="18" charset="0"/>
                      </a:rPr>
                      <m:t>𝑙</m:t>
                    </m:r>
                    <m:r>
                      <a:rPr lang="it-IT" sz="1400" b="0" i="1">
                        <a:latin typeface="Cambria Math" panose="02040503050406030204" pitchFamily="18" charset="0"/>
                      </a:rPr>
                      <m:t> </m:t>
                    </m:r>
                    <m:r>
                      <a:rPr lang="it-IT" sz="1400" b="0" i="1">
                        <a:latin typeface="Cambria Math" panose="02040503050406030204" pitchFamily="18" charset="0"/>
                      </a:rPr>
                      <m:t>𝑡</m:t>
                    </m:r>
                    <m:r>
                      <a:rPr lang="it-IT" sz="1400" b="0" i="1">
                        <a:latin typeface="Cambria Math" panose="02040503050406030204" pitchFamily="18" charset="0"/>
                      </a:rPr>
                      <m:t> </m:t>
                    </m:r>
                    <m:f>
                      <m:fPr>
                        <m:ctrlPr>
                          <a:rPr lang="it-IT" sz="1400" b="0" i="1">
                            <a:latin typeface="Cambria Math" panose="02040503050406030204" pitchFamily="18" charset="0"/>
                          </a:rPr>
                        </m:ctrlPr>
                      </m:fPr>
                      <m:num>
                        <m:r>
                          <a:rPr lang="it-IT" sz="1400" b="0" i="1">
                            <a:latin typeface="Cambria Math" panose="02040503050406030204" pitchFamily="18" charset="0"/>
                          </a:rPr>
                          <m:t>1,5 </m:t>
                        </m:r>
                        <m:sSub>
                          <m:sSubPr>
                            <m:ctrlPr>
                              <a:rPr lang="it-IT" sz="1400" b="0" i="1">
                                <a:latin typeface="Cambria Math" panose="02040503050406030204" pitchFamily="18" charset="0"/>
                              </a:rPr>
                            </m:ctrlPr>
                          </m:sSubPr>
                          <m:e>
                            <m:r>
                              <a:rPr lang="it-IT" sz="1400" b="0" i="1">
                                <a:latin typeface="Cambria Math" panose="02040503050406030204" pitchFamily="18" charset="0"/>
                                <a:ea typeface="Cambria Math" panose="02040503050406030204" pitchFamily="18" charset="0"/>
                              </a:rPr>
                              <m:t>𝜏</m:t>
                            </m:r>
                          </m:e>
                          <m:sub>
                            <m:r>
                              <a:rPr lang="it-IT" sz="1400" b="0" i="1">
                                <a:latin typeface="Cambria Math" panose="02040503050406030204" pitchFamily="18" charset="0"/>
                              </a:rPr>
                              <m:t>0</m:t>
                            </m:r>
                            <m:r>
                              <a:rPr lang="it-IT" sz="1400" b="0" i="1">
                                <a:latin typeface="Cambria Math" panose="02040503050406030204" pitchFamily="18" charset="0"/>
                              </a:rPr>
                              <m:t>𝑑</m:t>
                            </m:r>
                          </m:sub>
                        </m:sSub>
                      </m:num>
                      <m:den>
                        <m:r>
                          <a:rPr lang="it-IT" sz="1400" b="0" i="1">
                            <a:latin typeface="Cambria Math" panose="02040503050406030204" pitchFamily="18" charset="0"/>
                          </a:rPr>
                          <m:t>𝑏</m:t>
                        </m:r>
                      </m:den>
                    </m:f>
                    <m:rad>
                      <m:radPr>
                        <m:degHide m:val="on"/>
                        <m:ctrlPr>
                          <a:rPr lang="it-IT" sz="1400" b="0" i="1">
                            <a:latin typeface="Cambria Math" panose="02040503050406030204" pitchFamily="18" charset="0"/>
                          </a:rPr>
                        </m:ctrlPr>
                      </m:radPr>
                      <m:deg/>
                      <m:e>
                        <m:r>
                          <a:rPr lang="it-IT" sz="1400" b="0" i="1">
                            <a:latin typeface="Cambria Math" panose="02040503050406030204" pitchFamily="18" charset="0"/>
                          </a:rPr>
                          <m:t>1+</m:t>
                        </m:r>
                        <m:f>
                          <m:fPr>
                            <m:ctrlPr>
                              <a:rPr lang="it-IT" sz="1400" b="0" i="1">
                                <a:latin typeface="Cambria Math" panose="02040503050406030204" pitchFamily="18" charset="0"/>
                              </a:rPr>
                            </m:ctrlPr>
                          </m:fPr>
                          <m:num>
                            <m:sSub>
                              <m:sSubPr>
                                <m:ctrlPr>
                                  <a:rPr lang="it-IT" sz="1400" b="0" i="1">
                                    <a:latin typeface="Cambria Math" panose="02040503050406030204" pitchFamily="18" charset="0"/>
                                  </a:rPr>
                                </m:ctrlPr>
                              </m:sSubPr>
                              <m:e>
                                <m:r>
                                  <a:rPr lang="it-IT" sz="1400" b="0" i="1">
                                    <a:latin typeface="Cambria Math" panose="02040503050406030204" pitchFamily="18" charset="0"/>
                                    <a:ea typeface="Cambria Math" panose="02040503050406030204" pitchFamily="18" charset="0"/>
                                  </a:rPr>
                                  <m:t>𝜎</m:t>
                                </m:r>
                              </m:e>
                              <m:sub>
                                <m:r>
                                  <a:rPr lang="it-IT" sz="1400" b="0" i="1">
                                    <a:latin typeface="Cambria Math" panose="02040503050406030204" pitchFamily="18" charset="0"/>
                                  </a:rPr>
                                  <m:t>0</m:t>
                                </m:r>
                              </m:sub>
                            </m:sSub>
                          </m:num>
                          <m:den>
                            <m:r>
                              <a:rPr lang="it-IT" sz="1400" b="0" i="1">
                                <a:solidFill>
                                  <a:schemeClr val="tx1"/>
                                </a:solidFill>
                                <a:effectLst/>
                                <a:latin typeface="Cambria Math" panose="02040503050406030204" pitchFamily="18" charset="0"/>
                                <a:ea typeface="+mn-ea"/>
                                <a:cs typeface="+mn-cs"/>
                              </a:rPr>
                              <m:t>1,5 </m:t>
                            </m:r>
                            <m:sSub>
                              <m:sSubPr>
                                <m:ctrlPr>
                                  <a:rPr lang="it-IT" sz="1400" b="0" i="1">
                                    <a:solidFill>
                                      <a:schemeClr val="tx1"/>
                                    </a:solidFill>
                                    <a:effectLst/>
                                    <a:latin typeface="Cambria Math" panose="02040503050406030204" pitchFamily="18" charset="0"/>
                                    <a:ea typeface="+mn-ea"/>
                                    <a:cs typeface="+mn-cs"/>
                                  </a:rPr>
                                </m:ctrlPr>
                              </m:sSubPr>
                              <m:e>
                                <m:r>
                                  <a:rPr lang="it-IT" sz="1400" b="0" i="1">
                                    <a:solidFill>
                                      <a:schemeClr val="tx1"/>
                                    </a:solidFill>
                                    <a:effectLst/>
                                    <a:latin typeface="Cambria Math" panose="02040503050406030204" pitchFamily="18" charset="0"/>
                                    <a:ea typeface="+mn-ea"/>
                                    <a:cs typeface="+mn-cs"/>
                                  </a:rPr>
                                  <m:t>𝜏</m:t>
                                </m:r>
                              </m:e>
                              <m:sub>
                                <m:r>
                                  <a:rPr lang="it-IT" sz="1400" b="0" i="1">
                                    <a:solidFill>
                                      <a:schemeClr val="tx1"/>
                                    </a:solidFill>
                                    <a:effectLst/>
                                    <a:latin typeface="Cambria Math" panose="02040503050406030204" pitchFamily="18" charset="0"/>
                                    <a:ea typeface="+mn-ea"/>
                                    <a:cs typeface="+mn-cs"/>
                                  </a:rPr>
                                  <m:t>0</m:t>
                                </m:r>
                                <m:r>
                                  <a:rPr lang="it-IT" sz="1400" b="0" i="1">
                                    <a:solidFill>
                                      <a:schemeClr val="tx1"/>
                                    </a:solidFill>
                                    <a:effectLst/>
                                    <a:latin typeface="Cambria Math" panose="02040503050406030204" pitchFamily="18" charset="0"/>
                                    <a:ea typeface="+mn-ea"/>
                                    <a:cs typeface="+mn-cs"/>
                                  </a:rPr>
                                  <m:t>𝑑</m:t>
                                </m:r>
                              </m:sub>
                            </m:sSub>
                          </m:den>
                        </m:f>
                      </m:e>
                    </m:rad>
                  </m:oMath>
                </m:oMathPara>
              </a14:m>
              <a:endParaRPr lang="it-IT" sz="1100"/>
            </a:p>
          </xdr:txBody>
        </xdr:sp>
      </mc:Choice>
      <mc:Fallback xmlns="">
        <xdr:sp macro="" textlink="">
          <xdr:nvSpPr>
            <xdr:cNvPr id="16" name="CasellaDiTesto 15"/>
            <xdr:cNvSpPr txBox="1"/>
          </xdr:nvSpPr>
          <xdr:spPr>
            <a:xfrm>
              <a:off x="3302002" y="10128251"/>
              <a:ext cx="3005666" cy="6365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it-IT" sz="1400" b="0" i="0">
                  <a:latin typeface="Cambria Math" panose="02040503050406030204" pitchFamily="18" charset="0"/>
                </a:rPr>
                <a:t>𝑉_𝑅𝑑=𝑙 𝑡  (1,5 </a:t>
              </a:r>
              <a:r>
                <a:rPr lang="it-IT" sz="1400" b="0" i="0">
                  <a:latin typeface="Cambria Math" panose="02040503050406030204" pitchFamily="18" charset="0"/>
                  <a:ea typeface="Cambria Math" panose="02040503050406030204" pitchFamily="18" charset="0"/>
                </a:rPr>
                <a:t>𝜏_</a:t>
              </a:r>
              <a:r>
                <a:rPr lang="it-IT" sz="1400" b="0" i="0">
                  <a:latin typeface="Cambria Math" panose="02040503050406030204" pitchFamily="18" charset="0"/>
                </a:rPr>
                <a:t>0𝑑)/𝑏 √(1+</a:t>
              </a:r>
              <a:r>
                <a:rPr lang="it-IT" sz="1400" b="0" i="0">
                  <a:latin typeface="Cambria Math" panose="02040503050406030204" pitchFamily="18" charset="0"/>
                  <a:ea typeface="Cambria Math" panose="02040503050406030204" pitchFamily="18" charset="0"/>
                </a:rPr>
                <a:t>𝜎_</a:t>
              </a:r>
              <a:r>
                <a:rPr lang="it-IT" sz="1400" b="0" i="0">
                  <a:latin typeface="Cambria Math" panose="02040503050406030204" pitchFamily="18" charset="0"/>
                </a:rPr>
                <a:t>0/(</a:t>
              </a:r>
              <a:r>
                <a:rPr lang="it-IT" sz="1400" b="0" i="0">
                  <a:solidFill>
                    <a:schemeClr val="tx1"/>
                  </a:solidFill>
                  <a:effectLst/>
                  <a:latin typeface="Cambria Math" panose="02040503050406030204" pitchFamily="18" charset="0"/>
                  <a:ea typeface="+mn-ea"/>
                  <a:cs typeface="+mn-cs"/>
                </a:rPr>
                <a:t>1,5 𝜏_0𝑑 ))</a:t>
              </a:r>
              <a:endParaRPr lang="it-IT" sz="1100"/>
            </a:p>
          </xdr:txBody>
        </xdr:sp>
      </mc:Fallback>
    </mc:AlternateContent>
    <xdr:clientData/>
  </xdr:oneCellAnchor>
  <xdr:twoCellAnchor editAs="oneCell">
    <xdr:from>
      <xdr:col>1</xdr:col>
      <xdr:colOff>91784</xdr:colOff>
      <xdr:row>15</xdr:row>
      <xdr:rowOff>174370</xdr:rowOff>
    </xdr:from>
    <xdr:to>
      <xdr:col>3</xdr:col>
      <xdr:colOff>10583</xdr:colOff>
      <xdr:row>41</xdr:row>
      <xdr:rowOff>167750</xdr:rowOff>
    </xdr:to>
    <xdr:pic>
      <xdr:nvPicPr>
        <xdr:cNvPr id="6" name="Immagine 5"/>
        <xdr:cNvPicPr>
          <a:picLocks noChangeAspect="1"/>
        </xdr:cNvPicPr>
      </xdr:nvPicPr>
      <xdr:blipFill>
        <a:blip xmlns:r="http://schemas.openxmlformats.org/officeDocument/2006/relationships" r:embed="rId2"/>
        <a:stretch>
          <a:fillRect/>
        </a:stretch>
      </xdr:blipFill>
      <xdr:spPr>
        <a:xfrm rot="16200000">
          <a:off x="-1194340" y="4550827"/>
          <a:ext cx="4946380" cy="19296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964221</xdr:colOff>
      <xdr:row>11</xdr:row>
      <xdr:rowOff>7620</xdr:rowOff>
    </xdr:from>
    <xdr:to>
      <xdr:col>3</xdr:col>
      <xdr:colOff>480412</xdr:colOff>
      <xdr:row>23</xdr:row>
      <xdr:rowOff>38100</xdr:rowOff>
    </xdr:to>
    <xdr:pic>
      <xdr:nvPicPr>
        <xdr:cNvPr id="2" name="Picture 8"/>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346" t="2758" r="9656"/>
        <a:stretch/>
      </xdr:blipFill>
      <xdr:spPr bwMode="auto">
        <a:xfrm>
          <a:off x="4332261" y="2148840"/>
          <a:ext cx="2364166" cy="2225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175260</xdr:colOff>
      <xdr:row>12</xdr:row>
      <xdr:rowOff>34844</xdr:rowOff>
    </xdr:from>
    <xdr:to>
      <xdr:col>1</xdr:col>
      <xdr:colOff>2729966</xdr:colOff>
      <xdr:row>22</xdr:row>
      <xdr:rowOff>137160</xdr:rowOff>
    </xdr:to>
    <xdr:pic>
      <xdr:nvPicPr>
        <xdr:cNvPr id="3" name="Picture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2358944"/>
          <a:ext cx="2554706" cy="1931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29</xdr:row>
      <xdr:rowOff>4762</xdr:rowOff>
    </xdr:from>
    <xdr:to>
      <xdr:col>11</xdr:col>
      <xdr:colOff>381000</xdr:colOff>
      <xdr:row>47</xdr:row>
      <xdr:rowOff>152400</xdr:rowOff>
    </xdr:to>
    <xdr:graphicFrame macro="">
      <xdr:nvGraphicFramePr>
        <xdr:cNvPr id="3" name="Gra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200025</xdr:colOff>
      <xdr:row>48</xdr:row>
      <xdr:rowOff>42862</xdr:rowOff>
    </xdr:from>
    <xdr:to>
      <xdr:col>8</xdr:col>
      <xdr:colOff>276225</xdr:colOff>
      <xdr:row>62</xdr:row>
      <xdr:rowOff>119062</xdr:rowOff>
    </xdr:to>
    <xdr:graphicFrame macro="">
      <xdr:nvGraphicFramePr>
        <xdr:cNvPr id="4" name="Gra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15</xdr:row>
      <xdr:rowOff>190499</xdr:rowOff>
    </xdr:from>
    <xdr:to>
      <xdr:col>13</xdr:col>
      <xdr:colOff>264982</xdr:colOff>
      <xdr:row>42</xdr:row>
      <xdr:rowOff>161924</xdr:rowOff>
    </xdr:to>
    <xdr:pic>
      <xdr:nvPicPr>
        <xdr:cNvPr id="2" name="Immagine 1"/>
        <xdr:cNvPicPr>
          <a:picLocks noChangeAspect="1"/>
        </xdr:cNvPicPr>
      </xdr:nvPicPr>
      <xdr:blipFill>
        <a:blip xmlns:r="http://schemas.openxmlformats.org/officeDocument/2006/relationships" r:embed="rId1"/>
        <a:stretch>
          <a:fillRect/>
        </a:stretch>
      </xdr:blipFill>
      <xdr:spPr>
        <a:xfrm>
          <a:off x="180975" y="7810499"/>
          <a:ext cx="7580182" cy="5114925"/>
        </a:xfrm>
        <a:prstGeom prst="rect">
          <a:avLst/>
        </a:prstGeom>
      </xdr:spPr>
    </xdr:pic>
    <xdr:clientData/>
  </xdr:twoCellAnchor>
  <xdr:twoCellAnchor editAs="oneCell">
    <xdr:from>
      <xdr:col>1</xdr:col>
      <xdr:colOff>66676</xdr:colOff>
      <xdr:row>42</xdr:row>
      <xdr:rowOff>113195</xdr:rowOff>
    </xdr:from>
    <xdr:to>
      <xdr:col>13</xdr:col>
      <xdr:colOff>278909</xdr:colOff>
      <xdr:row>70</xdr:row>
      <xdr:rowOff>9524</xdr:rowOff>
    </xdr:to>
    <xdr:pic>
      <xdr:nvPicPr>
        <xdr:cNvPr id="3" name="Immagine 2"/>
        <xdr:cNvPicPr>
          <a:picLocks noChangeAspect="1"/>
        </xdr:cNvPicPr>
      </xdr:nvPicPr>
      <xdr:blipFill>
        <a:blip xmlns:r="http://schemas.openxmlformats.org/officeDocument/2006/relationships" r:embed="rId2"/>
        <a:stretch>
          <a:fillRect/>
        </a:stretch>
      </xdr:blipFill>
      <xdr:spPr>
        <a:xfrm>
          <a:off x="247651" y="12876695"/>
          <a:ext cx="7527433" cy="5230329"/>
        </a:xfrm>
        <a:prstGeom prst="rect">
          <a:avLst/>
        </a:prstGeom>
      </xdr:spPr>
    </xdr:pic>
    <xdr:clientData/>
  </xdr:twoCellAnchor>
  <xdr:twoCellAnchor editAs="oneCell">
    <xdr:from>
      <xdr:col>1</xdr:col>
      <xdr:colOff>9525</xdr:colOff>
      <xdr:row>69</xdr:row>
      <xdr:rowOff>142875</xdr:rowOff>
    </xdr:from>
    <xdr:to>
      <xdr:col>13</xdr:col>
      <xdr:colOff>279810</xdr:colOff>
      <xdr:row>102</xdr:row>
      <xdr:rowOff>46584</xdr:rowOff>
    </xdr:to>
    <xdr:pic>
      <xdr:nvPicPr>
        <xdr:cNvPr id="4" name="Immagine 3"/>
        <xdr:cNvPicPr>
          <a:picLocks noChangeAspect="1"/>
        </xdr:cNvPicPr>
      </xdr:nvPicPr>
      <xdr:blipFill>
        <a:blip xmlns:r="http://schemas.openxmlformats.org/officeDocument/2006/relationships" r:embed="rId3"/>
        <a:stretch>
          <a:fillRect/>
        </a:stretch>
      </xdr:blipFill>
      <xdr:spPr>
        <a:xfrm>
          <a:off x="190500" y="18049875"/>
          <a:ext cx="7585485" cy="6190209"/>
        </a:xfrm>
        <a:prstGeom prst="rect">
          <a:avLst/>
        </a:prstGeom>
      </xdr:spPr>
    </xdr:pic>
    <xdr:clientData/>
  </xdr:twoCellAnchor>
  <xdr:twoCellAnchor editAs="oneCell">
    <xdr:from>
      <xdr:col>0</xdr:col>
      <xdr:colOff>142875</xdr:colOff>
      <xdr:row>102</xdr:row>
      <xdr:rowOff>25572</xdr:rowOff>
    </xdr:from>
    <xdr:to>
      <xdr:col>13</xdr:col>
      <xdr:colOff>209550</xdr:colOff>
      <xdr:row>121</xdr:row>
      <xdr:rowOff>85106</xdr:rowOff>
    </xdr:to>
    <xdr:pic>
      <xdr:nvPicPr>
        <xdr:cNvPr id="5" name="Immagine 4"/>
        <xdr:cNvPicPr>
          <a:picLocks noChangeAspect="1"/>
        </xdr:cNvPicPr>
      </xdr:nvPicPr>
      <xdr:blipFill>
        <a:blip xmlns:r="http://schemas.openxmlformats.org/officeDocument/2006/relationships" r:embed="rId4"/>
        <a:stretch>
          <a:fillRect/>
        </a:stretch>
      </xdr:blipFill>
      <xdr:spPr>
        <a:xfrm>
          <a:off x="142875" y="24219072"/>
          <a:ext cx="7562850" cy="3679034"/>
        </a:xfrm>
        <a:prstGeom prst="rect">
          <a:avLst/>
        </a:prstGeom>
      </xdr:spPr>
    </xdr:pic>
    <xdr:clientData/>
  </xdr:twoCellAnchor>
  <xdr:twoCellAnchor editAs="oneCell">
    <xdr:from>
      <xdr:col>0</xdr:col>
      <xdr:colOff>171451</xdr:colOff>
      <xdr:row>121</xdr:row>
      <xdr:rowOff>66675</xdr:rowOff>
    </xdr:from>
    <xdr:to>
      <xdr:col>13</xdr:col>
      <xdr:colOff>238908</xdr:colOff>
      <xdr:row>134</xdr:row>
      <xdr:rowOff>94830</xdr:rowOff>
    </xdr:to>
    <xdr:pic>
      <xdr:nvPicPr>
        <xdr:cNvPr id="6" name="Immagine 5"/>
        <xdr:cNvPicPr>
          <a:picLocks noChangeAspect="1"/>
        </xdr:cNvPicPr>
      </xdr:nvPicPr>
      <xdr:blipFill>
        <a:blip xmlns:r="http://schemas.openxmlformats.org/officeDocument/2006/relationships" r:embed="rId5"/>
        <a:stretch>
          <a:fillRect/>
        </a:stretch>
      </xdr:blipFill>
      <xdr:spPr>
        <a:xfrm>
          <a:off x="171451" y="27879675"/>
          <a:ext cx="7563632" cy="2504655"/>
        </a:xfrm>
        <a:prstGeom prst="rect">
          <a:avLst/>
        </a:prstGeom>
      </xdr:spPr>
    </xdr:pic>
    <xdr:clientData/>
  </xdr:twoCellAnchor>
  <xdr:twoCellAnchor editAs="oneCell">
    <xdr:from>
      <xdr:col>0</xdr:col>
      <xdr:colOff>161926</xdr:colOff>
      <xdr:row>134</xdr:row>
      <xdr:rowOff>98488</xdr:rowOff>
    </xdr:from>
    <xdr:to>
      <xdr:col>13</xdr:col>
      <xdr:colOff>342901</xdr:colOff>
      <xdr:row>168</xdr:row>
      <xdr:rowOff>37033</xdr:rowOff>
    </xdr:to>
    <xdr:pic>
      <xdr:nvPicPr>
        <xdr:cNvPr id="7" name="Immagine 6"/>
        <xdr:cNvPicPr>
          <a:picLocks noChangeAspect="1"/>
        </xdr:cNvPicPr>
      </xdr:nvPicPr>
      <xdr:blipFill>
        <a:blip xmlns:r="http://schemas.openxmlformats.org/officeDocument/2006/relationships" r:embed="rId6"/>
        <a:stretch>
          <a:fillRect/>
        </a:stretch>
      </xdr:blipFill>
      <xdr:spPr>
        <a:xfrm>
          <a:off x="161926" y="30387988"/>
          <a:ext cx="7677150" cy="6415545"/>
        </a:xfrm>
        <a:prstGeom prst="rect">
          <a:avLst/>
        </a:prstGeom>
      </xdr:spPr>
    </xdr:pic>
    <xdr:clientData/>
  </xdr:twoCellAnchor>
  <xdr:twoCellAnchor editAs="oneCell">
    <xdr:from>
      <xdr:col>1</xdr:col>
      <xdr:colOff>19050</xdr:colOff>
      <xdr:row>168</xdr:row>
      <xdr:rowOff>54246</xdr:rowOff>
    </xdr:from>
    <xdr:to>
      <xdr:col>13</xdr:col>
      <xdr:colOff>285750</xdr:colOff>
      <xdr:row>181</xdr:row>
      <xdr:rowOff>28170</xdr:rowOff>
    </xdr:to>
    <xdr:pic>
      <xdr:nvPicPr>
        <xdr:cNvPr id="8" name="Immagine 7"/>
        <xdr:cNvPicPr>
          <a:picLocks noChangeAspect="1"/>
        </xdr:cNvPicPr>
      </xdr:nvPicPr>
      <xdr:blipFill>
        <a:blip xmlns:r="http://schemas.openxmlformats.org/officeDocument/2006/relationships" r:embed="rId7"/>
        <a:stretch>
          <a:fillRect/>
        </a:stretch>
      </xdr:blipFill>
      <xdr:spPr>
        <a:xfrm>
          <a:off x="200025" y="36820746"/>
          <a:ext cx="7581900" cy="2450424"/>
        </a:xfrm>
        <a:prstGeom prst="rect">
          <a:avLst/>
        </a:prstGeom>
      </xdr:spPr>
    </xdr:pic>
    <xdr:clientData/>
  </xdr:twoCellAnchor>
  <xdr:twoCellAnchor editAs="oneCell">
    <xdr:from>
      <xdr:col>0</xdr:col>
      <xdr:colOff>171450</xdr:colOff>
      <xdr:row>180</xdr:row>
      <xdr:rowOff>72284</xdr:rowOff>
    </xdr:from>
    <xdr:to>
      <xdr:col>13</xdr:col>
      <xdr:colOff>314325</xdr:colOff>
      <xdr:row>212</xdr:row>
      <xdr:rowOff>38099</xdr:rowOff>
    </xdr:to>
    <xdr:pic>
      <xdr:nvPicPr>
        <xdr:cNvPr id="9" name="Immagine 8"/>
        <xdr:cNvPicPr>
          <a:picLocks noChangeAspect="1"/>
        </xdr:cNvPicPr>
      </xdr:nvPicPr>
      <xdr:blipFill>
        <a:blip xmlns:r="http://schemas.openxmlformats.org/officeDocument/2006/relationships" r:embed="rId8"/>
        <a:stretch>
          <a:fillRect/>
        </a:stretch>
      </xdr:blipFill>
      <xdr:spPr>
        <a:xfrm>
          <a:off x="171450" y="39124784"/>
          <a:ext cx="7639050" cy="6061815"/>
        </a:xfrm>
        <a:prstGeom prst="rect">
          <a:avLst/>
        </a:prstGeom>
      </xdr:spPr>
    </xdr:pic>
    <xdr:clientData/>
  </xdr:twoCellAnchor>
  <xdr:twoCellAnchor editAs="oneCell">
    <xdr:from>
      <xdr:col>0</xdr:col>
      <xdr:colOff>133350</xdr:colOff>
      <xdr:row>212</xdr:row>
      <xdr:rowOff>3497</xdr:rowOff>
    </xdr:from>
    <xdr:to>
      <xdr:col>13</xdr:col>
      <xdr:colOff>419100</xdr:colOff>
      <xdr:row>235</xdr:row>
      <xdr:rowOff>151664</xdr:rowOff>
    </xdr:to>
    <xdr:pic>
      <xdr:nvPicPr>
        <xdr:cNvPr id="10" name="Immagine 9"/>
        <xdr:cNvPicPr>
          <a:picLocks noChangeAspect="1"/>
        </xdr:cNvPicPr>
      </xdr:nvPicPr>
      <xdr:blipFill>
        <a:blip xmlns:r="http://schemas.openxmlformats.org/officeDocument/2006/relationships" r:embed="rId9"/>
        <a:stretch>
          <a:fillRect/>
        </a:stretch>
      </xdr:blipFill>
      <xdr:spPr>
        <a:xfrm>
          <a:off x="133350" y="45151997"/>
          <a:ext cx="7781925" cy="4529667"/>
        </a:xfrm>
        <a:prstGeom prst="rect">
          <a:avLst/>
        </a:prstGeom>
      </xdr:spPr>
    </xdr:pic>
    <xdr:clientData/>
  </xdr:twoCellAnchor>
  <xdr:twoCellAnchor editAs="oneCell">
    <xdr:from>
      <xdr:col>0</xdr:col>
      <xdr:colOff>133349</xdr:colOff>
      <xdr:row>235</xdr:row>
      <xdr:rowOff>123825</xdr:rowOff>
    </xdr:from>
    <xdr:to>
      <xdr:col>13</xdr:col>
      <xdr:colOff>417475</xdr:colOff>
      <xdr:row>238</xdr:row>
      <xdr:rowOff>190499</xdr:rowOff>
    </xdr:to>
    <xdr:pic>
      <xdr:nvPicPr>
        <xdr:cNvPr id="11" name="Immagine 10"/>
        <xdr:cNvPicPr>
          <a:picLocks noChangeAspect="1"/>
        </xdr:cNvPicPr>
      </xdr:nvPicPr>
      <xdr:blipFill rotWithShape="1">
        <a:blip xmlns:r="http://schemas.openxmlformats.org/officeDocument/2006/relationships" r:embed="rId10"/>
        <a:srcRect t="12259"/>
        <a:stretch/>
      </xdr:blipFill>
      <xdr:spPr>
        <a:xfrm>
          <a:off x="133349" y="49653825"/>
          <a:ext cx="7780301" cy="638174"/>
        </a:xfrm>
        <a:prstGeom prst="rect">
          <a:avLst/>
        </a:prstGeom>
      </xdr:spPr>
    </xdr:pic>
    <xdr:clientData/>
  </xdr:twoCellAnchor>
  <xdr:twoCellAnchor editAs="oneCell">
    <xdr:from>
      <xdr:col>0</xdr:col>
      <xdr:colOff>95250</xdr:colOff>
      <xdr:row>238</xdr:row>
      <xdr:rowOff>171450</xdr:rowOff>
    </xdr:from>
    <xdr:to>
      <xdr:col>13</xdr:col>
      <xdr:colOff>508867</xdr:colOff>
      <xdr:row>267</xdr:row>
      <xdr:rowOff>46761</xdr:rowOff>
    </xdr:to>
    <xdr:pic>
      <xdr:nvPicPr>
        <xdr:cNvPr id="12" name="Immagine 11"/>
        <xdr:cNvPicPr>
          <a:picLocks noChangeAspect="1"/>
        </xdr:cNvPicPr>
      </xdr:nvPicPr>
      <xdr:blipFill>
        <a:blip xmlns:r="http://schemas.openxmlformats.org/officeDocument/2006/relationships" r:embed="rId11"/>
        <a:stretch>
          <a:fillRect/>
        </a:stretch>
      </xdr:blipFill>
      <xdr:spPr>
        <a:xfrm>
          <a:off x="95250" y="50272950"/>
          <a:ext cx="7909792" cy="5399811"/>
        </a:xfrm>
        <a:prstGeom prst="rect">
          <a:avLst/>
        </a:prstGeom>
      </xdr:spPr>
    </xdr:pic>
    <xdr:clientData/>
  </xdr:twoCellAnchor>
  <xdr:twoCellAnchor editAs="oneCell">
    <xdr:from>
      <xdr:col>0</xdr:col>
      <xdr:colOff>104776</xdr:colOff>
      <xdr:row>267</xdr:row>
      <xdr:rowOff>28575</xdr:rowOff>
    </xdr:from>
    <xdr:to>
      <xdr:col>13</xdr:col>
      <xdr:colOff>467533</xdr:colOff>
      <xdr:row>287</xdr:row>
      <xdr:rowOff>151773</xdr:rowOff>
    </xdr:to>
    <xdr:pic>
      <xdr:nvPicPr>
        <xdr:cNvPr id="13" name="Immagine 12"/>
        <xdr:cNvPicPr>
          <a:picLocks noChangeAspect="1"/>
        </xdr:cNvPicPr>
      </xdr:nvPicPr>
      <xdr:blipFill>
        <a:blip xmlns:r="http://schemas.openxmlformats.org/officeDocument/2006/relationships" r:embed="rId12"/>
        <a:stretch>
          <a:fillRect/>
        </a:stretch>
      </xdr:blipFill>
      <xdr:spPr>
        <a:xfrm>
          <a:off x="104776" y="55654575"/>
          <a:ext cx="7858932" cy="3933198"/>
        </a:xfrm>
        <a:prstGeom prst="rect">
          <a:avLst/>
        </a:prstGeom>
      </xdr:spPr>
    </xdr:pic>
    <xdr:clientData/>
  </xdr:twoCellAnchor>
  <xdr:twoCellAnchor editAs="oneCell">
    <xdr:from>
      <xdr:col>0</xdr:col>
      <xdr:colOff>114301</xdr:colOff>
      <xdr:row>288</xdr:row>
      <xdr:rowOff>59007</xdr:rowOff>
    </xdr:from>
    <xdr:to>
      <xdr:col>13</xdr:col>
      <xdr:colOff>295276</xdr:colOff>
      <xdr:row>295</xdr:row>
      <xdr:rowOff>75981</xdr:rowOff>
    </xdr:to>
    <xdr:pic>
      <xdr:nvPicPr>
        <xdr:cNvPr id="14" name="Immagine 13"/>
        <xdr:cNvPicPr>
          <a:picLocks noChangeAspect="1"/>
        </xdr:cNvPicPr>
      </xdr:nvPicPr>
      <xdr:blipFill>
        <a:blip xmlns:r="http://schemas.openxmlformats.org/officeDocument/2006/relationships" r:embed="rId13"/>
        <a:stretch>
          <a:fillRect/>
        </a:stretch>
      </xdr:blipFill>
      <xdr:spPr>
        <a:xfrm>
          <a:off x="114301" y="59685507"/>
          <a:ext cx="7677150" cy="13504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13</xdr:col>
      <xdr:colOff>122895</xdr:colOff>
      <xdr:row>42</xdr:row>
      <xdr:rowOff>66048</xdr:rowOff>
    </xdr:to>
    <xdr:pic>
      <xdr:nvPicPr>
        <xdr:cNvPr id="2" name="Immagine 1"/>
        <xdr:cNvPicPr>
          <a:picLocks noChangeAspect="1"/>
        </xdr:cNvPicPr>
      </xdr:nvPicPr>
      <xdr:blipFill>
        <a:blip xmlns:r="http://schemas.openxmlformats.org/officeDocument/2006/relationships" r:embed="rId1"/>
        <a:stretch>
          <a:fillRect/>
        </a:stretch>
      </xdr:blipFill>
      <xdr:spPr>
        <a:xfrm>
          <a:off x="180975" y="9334500"/>
          <a:ext cx="7438095" cy="5019048"/>
        </a:xfrm>
        <a:prstGeom prst="rect">
          <a:avLst/>
        </a:prstGeom>
      </xdr:spPr>
    </xdr:pic>
    <xdr:clientData/>
  </xdr:twoCellAnchor>
  <xdr:twoCellAnchor editAs="oneCell">
    <xdr:from>
      <xdr:col>1</xdr:col>
      <xdr:colOff>66675</xdr:colOff>
      <xdr:row>51</xdr:row>
      <xdr:rowOff>27142</xdr:rowOff>
    </xdr:from>
    <xdr:to>
      <xdr:col>13</xdr:col>
      <xdr:colOff>66675</xdr:colOff>
      <xdr:row>87</xdr:row>
      <xdr:rowOff>122977</xdr:rowOff>
    </xdr:to>
    <xdr:pic>
      <xdr:nvPicPr>
        <xdr:cNvPr id="3" name="Immagine 2"/>
        <xdr:cNvPicPr>
          <a:picLocks noChangeAspect="1"/>
        </xdr:cNvPicPr>
      </xdr:nvPicPr>
      <xdr:blipFill>
        <a:blip xmlns:r="http://schemas.openxmlformats.org/officeDocument/2006/relationships" r:embed="rId2"/>
        <a:stretch>
          <a:fillRect/>
        </a:stretch>
      </xdr:blipFill>
      <xdr:spPr>
        <a:xfrm>
          <a:off x="247650" y="12657292"/>
          <a:ext cx="7315200" cy="6953835"/>
        </a:xfrm>
        <a:prstGeom prst="rect">
          <a:avLst/>
        </a:prstGeom>
      </xdr:spPr>
    </xdr:pic>
    <xdr:clientData/>
  </xdr:twoCellAnchor>
  <xdr:twoCellAnchor editAs="oneCell">
    <xdr:from>
      <xdr:col>1</xdr:col>
      <xdr:colOff>0</xdr:colOff>
      <xdr:row>88</xdr:row>
      <xdr:rowOff>0</xdr:rowOff>
    </xdr:from>
    <xdr:to>
      <xdr:col>12</xdr:col>
      <xdr:colOff>608686</xdr:colOff>
      <xdr:row>113</xdr:row>
      <xdr:rowOff>170833</xdr:rowOff>
    </xdr:to>
    <xdr:pic>
      <xdr:nvPicPr>
        <xdr:cNvPr id="4" name="Immagine 3"/>
        <xdr:cNvPicPr>
          <a:picLocks noChangeAspect="1"/>
        </xdr:cNvPicPr>
      </xdr:nvPicPr>
      <xdr:blipFill>
        <a:blip xmlns:r="http://schemas.openxmlformats.org/officeDocument/2006/relationships" r:embed="rId3"/>
        <a:stretch>
          <a:fillRect/>
        </a:stretch>
      </xdr:blipFill>
      <xdr:spPr>
        <a:xfrm>
          <a:off x="180975" y="19678650"/>
          <a:ext cx="7314286" cy="4933333"/>
        </a:xfrm>
        <a:prstGeom prst="rect">
          <a:avLst/>
        </a:prstGeom>
      </xdr:spPr>
    </xdr:pic>
    <xdr:clientData/>
  </xdr:twoCellAnchor>
  <xdr:twoCellAnchor editAs="oneCell">
    <xdr:from>
      <xdr:col>1</xdr:col>
      <xdr:colOff>9525</xdr:colOff>
      <xdr:row>114</xdr:row>
      <xdr:rowOff>9525</xdr:rowOff>
    </xdr:from>
    <xdr:to>
      <xdr:col>12</xdr:col>
      <xdr:colOff>542020</xdr:colOff>
      <xdr:row>128</xdr:row>
      <xdr:rowOff>56811</xdr:rowOff>
    </xdr:to>
    <xdr:pic>
      <xdr:nvPicPr>
        <xdr:cNvPr id="5" name="Immagine 4"/>
        <xdr:cNvPicPr>
          <a:picLocks noChangeAspect="1"/>
        </xdr:cNvPicPr>
      </xdr:nvPicPr>
      <xdr:blipFill>
        <a:blip xmlns:r="http://schemas.openxmlformats.org/officeDocument/2006/relationships" r:embed="rId4"/>
        <a:stretch>
          <a:fillRect/>
        </a:stretch>
      </xdr:blipFill>
      <xdr:spPr>
        <a:xfrm>
          <a:off x="190500" y="24641175"/>
          <a:ext cx="7238095" cy="2714286"/>
        </a:xfrm>
        <a:prstGeom prst="rect">
          <a:avLst/>
        </a:prstGeom>
      </xdr:spPr>
    </xdr:pic>
    <xdr:clientData/>
  </xdr:twoCellAnchor>
  <xdr:twoCellAnchor editAs="oneCell">
    <xdr:from>
      <xdr:col>0</xdr:col>
      <xdr:colOff>123825</xdr:colOff>
      <xdr:row>128</xdr:row>
      <xdr:rowOff>85725</xdr:rowOff>
    </xdr:from>
    <xdr:to>
      <xdr:col>12</xdr:col>
      <xdr:colOff>580107</xdr:colOff>
      <xdr:row>146</xdr:row>
      <xdr:rowOff>94820</xdr:rowOff>
    </xdr:to>
    <xdr:pic>
      <xdr:nvPicPr>
        <xdr:cNvPr id="6" name="Immagine 5"/>
        <xdr:cNvPicPr>
          <a:picLocks noChangeAspect="1"/>
        </xdr:cNvPicPr>
      </xdr:nvPicPr>
      <xdr:blipFill>
        <a:blip xmlns:r="http://schemas.openxmlformats.org/officeDocument/2006/relationships" r:embed="rId5"/>
        <a:stretch>
          <a:fillRect/>
        </a:stretch>
      </xdr:blipFill>
      <xdr:spPr>
        <a:xfrm>
          <a:off x="123825" y="27384375"/>
          <a:ext cx="7342857" cy="3438095"/>
        </a:xfrm>
        <a:prstGeom prst="rect">
          <a:avLst/>
        </a:prstGeom>
      </xdr:spPr>
    </xdr:pic>
    <xdr:clientData/>
  </xdr:twoCellAnchor>
  <xdr:twoCellAnchor editAs="oneCell">
    <xdr:from>
      <xdr:col>1</xdr:col>
      <xdr:colOff>85725</xdr:colOff>
      <xdr:row>44</xdr:row>
      <xdr:rowOff>57150</xdr:rowOff>
    </xdr:from>
    <xdr:to>
      <xdr:col>12</xdr:col>
      <xdr:colOff>551553</xdr:colOff>
      <xdr:row>50</xdr:row>
      <xdr:rowOff>180817</xdr:rowOff>
    </xdr:to>
    <xdr:pic>
      <xdr:nvPicPr>
        <xdr:cNvPr id="7" name="Immagine 6"/>
        <xdr:cNvPicPr>
          <a:picLocks noChangeAspect="1"/>
        </xdr:cNvPicPr>
      </xdr:nvPicPr>
      <xdr:blipFill>
        <a:blip xmlns:r="http://schemas.openxmlformats.org/officeDocument/2006/relationships" r:embed="rId6"/>
        <a:stretch>
          <a:fillRect/>
        </a:stretch>
      </xdr:blipFill>
      <xdr:spPr>
        <a:xfrm>
          <a:off x="266700" y="13258800"/>
          <a:ext cx="7171428" cy="1266667"/>
        </a:xfrm>
        <a:prstGeom prst="rect">
          <a:avLst/>
        </a:prstGeom>
      </xdr:spPr>
    </xdr:pic>
    <xdr:clientData/>
  </xdr:twoCellAnchor>
  <xdr:twoCellAnchor editAs="oneCell">
    <xdr:from>
      <xdr:col>1</xdr:col>
      <xdr:colOff>9525</xdr:colOff>
      <xdr:row>146</xdr:row>
      <xdr:rowOff>123825</xdr:rowOff>
    </xdr:from>
    <xdr:to>
      <xdr:col>12</xdr:col>
      <xdr:colOff>555535</xdr:colOff>
      <xdr:row>160</xdr:row>
      <xdr:rowOff>180975</xdr:rowOff>
    </xdr:to>
    <xdr:pic>
      <xdr:nvPicPr>
        <xdr:cNvPr id="8" name="Immagine 7"/>
        <xdr:cNvPicPr>
          <a:picLocks noChangeAspect="1"/>
        </xdr:cNvPicPr>
      </xdr:nvPicPr>
      <xdr:blipFill>
        <a:blip xmlns:r="http://schemas.openxmlformats.org/officeDocument/2006/relationships" r:embed="rId7"/>
        <a:stretch>
          <a:fillRect/>
        </a:stretch>
      </xdr:blipFill>
      <xdr:spPr>
        <a:xfrm>
          <a:off x="190500" y="32375475"/>
          <a:ext cx="7251610" cy="2724150"/>
        </a:xfrm>
        <a:prstGeom prst="rect">
          <a:avLst/>
        </a:prstGeom>
      </xdr:spPr>
    </xdr:pic>
    <xdr:clientData/>
  </xdr:twoCellAnchor>
  <xdr:twoCellAnchor editAs="oneCell">
    <xdr:from>
      <xdr:col>1</xdr:col>
      <xdr:colOff>0</xdr:colOff>
      <xdr:row>160</xdr:row>
      <xdr:rowOff>171450</xdr:rowOff>
    </xdr:from>
    <xdr:to>
      <xdr:col>13</xdr:col>
      <xdr:colOff>14523</xdr:colOff>
      <xdr:row>170</xdr:row>
      <xdr:rowOff>190262</xdr:rowOff>
    </xdr:to>
    <xdr:pic>
      <xdr:nvPicPr>
        <xdr:cNvPr id="9" name="Immagine 8"/>
        <xdr:cNvPicPr>
          <a:picLocks noChangeAspect="1"/>
        </xdr:cNvPicPr>
      </xdr:nvPicPr>
      <xdr:blipFill>
        <a:blip xmlns:r="http://schemas.openxmlformats.org/officeDocument/2006/relationships" r:embed="rId8"/>
        <a:stretch>
          <a:fillRect/>
        </a:stretch>
      </xdr:blipFill>
      <xdr:spPr>
        <a:xfrm>
          <a:off x="180975" y="35090100"/>
          <a:ext cx="7329723" cy="1923812"/>
        </a:xfrm>
        <a:prstGeom prst="rect">
          <a:avLst/>
        </a:prstGeom>
      </xdr:spPr>
    </xdr:pic>
    <xdr:clientData/>
  </xdr:twoCellAnchor>
  <xdr:twoCellAnchor editAs="oneCell">
    <xdr:from>
      <xdr:col>0</xdr:col>
      <xdr:colOff>133350</xdr:colOff>
      <xdr:row>171</xdr:row>
      <xdr:rowOff>38100</xdr:rowOff>
    </xdr:from>
    <xdr:to>
      <xdr:col>13</xdr:col>
      <xdr:colOff>113365</xdr:colOff>
      <xdr:row>195</xdr:row>
      <xdr:rowOff>8957</xdr:rowOff>
    </xdr:to>
    <xdr:pic>
      <xdr:nvPicPr>
        <xdr:cNvPr id="10" name="Immagine 9"/>
        <xdr:cNvPicPr>
          <a:picLocks noChangeAspect="1"/>
        </xdr:cNvPicPr>
      </xdr:nvPicPr>
      <xdr:blipFill>
        <a:blip xmlns:r="http://schemas.openxmlformats.org/officeDocument/2006/relationships" r:embed="rId9"/>
        <a:stretch>
          <a:fillRect/>
        </a:stretch>
      </xdr:blipFill>
      <xdr:spPr>
        <a:xfrm>
          <a:off x="133350" y="37052250"/>
          <a:ext cx="7476190" cy="4542857"/>
        </a:xfrm>
        <a:prstGeom prst="rect">
          <a:avLst/>
        </a:prstGeom>
      </xdr:spPr>
    </xdr:pic>
    <xdr:clientData/>
  </xdr:twoCellAnchor>
</xdr:wsDr>
</file>

<file path=xl/revisions/_rels/revisionHeaders.xml.rels><?xml version="1.0" encoding="UTF-8" standalone="yes"?>
<Relationships xmlns="http://schemas.openxmlformats.org/package/2006/relationships"><Relationship Id="rId3" Type="http://schemas.openxmlformats.org/officeDocument/2006/relationships/revisionLog" Target="revisionLog3.xml"/><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993F060-D12D-46D9-8EEB-2D3CB800F66A}" diskRevisions="1" revisionId="3" version="3" protected="1">
  <header guid="{B97C20FF-0476-412A-B252-33F5EC0713F0}" dateTime="2019-07-04T23:08:14" maxSheetId="13" userName="Davide" r:id="rId1">
    <sheetIdMap count="12">
      <sheetId val="1"/>
      <sheetId val="2"/>
      <sheetId val="3"/>
      <sheetId val="4"/>
      <sheetId val="5"/>
      <sheetId val="6"/>
      <sheetId val="7"/>
      <sheetId val="8"/>
      <sheetId val="9"/>
      <sheetId val="10"/>
      <sheetId val="11"/>
      <sheetId val="12"/>
    </sheetIdMap>
  </header>
  <header guid="{99A6884C-FF2A-4EB5-8024-DF4E87E7D0E0}" dateTime="2019-07-04T23:08:29" maxSheetId="13" userName="Davide" r:id="rId2">
    <sheetIdMap count="12">
      <sheetId val="1"/>
      <sheetId val="2"/>
      <sheetId val="3"/>
      <sheetId val="4"/>
      <sheetId val="5"/>
      <sheetId val="6"/>
      <sheetId val="7"/>
      <sheetId val="8"/>
      <sheetId val="9"/>
      <sheetId val="10"/>
      <sheetId val="11"/>
      <sheetId val="12"/>
    </sheetIdMap>
  </header>
  <header guid="{A993F060-D12D-46D9-8EEB-2D3CB800F66A}" dateTime="2019-07-04T23:09:33" maxSheetId="13" userName="Davide" r:id="rId3" minRId="2">
    <sheetIdMap count="12">
      <sheetId val="1"/>
      <sheetId val="2"/>
      <sheetId val="3"/>
      <sheetId val="4"/>
      <sheetId val="5"/>
      <sheetId val="6"/>
      <sheetId val="7"/>
      <sheetId val="8"/>
      <sheetId val="9"/>
      <sheetId val="10"/>
      <sheetId val="11"/>
      <sheetId val="1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499ACAE-A2C7-4F7F-900A-65021AFAF04C}" action="delete"/>
  <rdn rId="0" localSheetId="8" customView="1" name="Z_2499ACAE_A2C7_4F7F_900A_65021AFAF04C_.wvu.FilterData" hidden="1" oldHidden="1">
    <formula>'RESISTENZA MURATURA'!$B$1:$F$3</formula>
    <oldFormula>'RESISTENZA MURATURA'!$B$1:$F$3</oldFormula>
  </rdn>
  <rcv guid="{2499ACAE-A2C7-4F7F-900A-65021AFAF04C}"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 sId="3">
    <oc r="B28" t="inlineStr">
      <is>
        <t xml:space="preserve">Muratura in pietrame disordinata </t>
      </is>
    </oc>
    <nc r="B28" t="inlineStr">
      <is>
        <t>Muratura a blocchi lapidei squadrati</t>
      </is>
    </nc>
  </rcc>
  <rcv guid="{2499ACAE-A2C7-4F7F-900A-65021AFAF04C}" action="delete"/>
  <rdn rId="0" localSheetId="8" customView="1" name="Z_2499ACAE_A2C7_4F7F_900A_65021AFAF04C_.wvu.FilterData" hidden="1" oldHidden="1">
    <formula>'RESISTENZA MURATURA'!$B$1:$F$3</formula>
    <oldFormula>'RESISTENZA MURATURA'!$B$1:$F$3</oldFormula>
  </rdn>
  <rcv guid="{2499ACAE-A2C7-4F7F-900A-65021AFAF04C}"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drawing" Target="../drawings/drawing4.xml"/><Relationship Id="rId4"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6.xml"/><Relationship Id="rId4"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davidecicchini.it/" TargetMode="External"/><Relationship Id="rId1" Type="http://schemas.openxmlformats.org/officeDocument/2006/relationships/hyperlink" Target="http://www.davidecicchini.i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drawing" Target="../drawings/drawing2.xml"/><Relationship Id="rId4"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drawing" Target="../drawings/drawing3.xml"/><Relationship Id="rId4"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9"/>
  <sheetViews>
    <sheetView topLeftCell="A82" zoomScale="80" zoomScaleNormal="80" workbookViewId="0">
      <selection activeCell="B113" sqref="B113:F119"/>
    </sheetView>
  </sheetViews>
  <sheetFormatPr defaultRowHeight="15"/>
  <cols>
    <col min="1" max="1" width="2.42578125" style="3" customWidth="1"/>
    <col min="2" max="2" width="64.140625" style="3" customWidth="1"/>
    <col min="3" max="3" width="71.5703125" style="3" customWidth="1"/>
    <col min="4" max="10" width="12.7109375" style="3" customWidth="1"/>
    <col min="11" max="11" width="14.28515625" style="3" customWidth="1"/>
    <col min="12" max="15" width="12.7109375" style="3" customWidth="1"/>
    <col min="16" max="16" width="13" style="3" customWidth="1"/>
    <col min="17" max="16384" width="9.140625" style="3"/>
  </cols>
  <sheetData>
    <row r="1" spans="1:23">
      <c r="B1" s="247" t="s">
        <v>18</v>
      </c>
      <c r="C1" s="247"/>
      <c r="D1" s="247"/>
      <c r="E1" s="247"/>
      <c r="F1" s="247"/>
      <c r="G1" s="247"/>
      <c r="H1" s="247"/>
      <c r="I1" s="247"/>
    </row>
    <row r="3" spans="1:23">
      <c r="A3" s="7"/>
      <c r="C3" s="1">
        <v>1</v>
      </c>
      <c r="D3" s="1">
        <v>2</v>
      </c>
      <c r="E3" s="1">
        <v>3</v>
      </c>
      <c r="F3" s="1">
        <v>4</v>
      </c>
      <c r="G3" s="1">
        <v>5</v>
      </c>
      <c r="H3" s="1">
        <v>6</v>
      </c>
      <c r="I3" s="1">
        <v>7</v>
      </c>
      <c r="J3" s="1">
        <v>8</v>
      </c>
      <c r="K3" s="1">
        <v>9</v>
      </c>
      <c r="L3" s="1">
        <v>10</v>
      </c>
      <c r="M3" s="1">
        <v>11</v>
      </c>
      <c r="N3" s="225">
        <v>12</v>
      </c>
      <c r="O3" s="1">
        <v>13</v>
      </c>
      <c r="P3" s="1">
        <v>14</v>
      </c>
      <c r="Q3" s="1">
        <v>15</v>
      </c>
    </row>
    <row r="4" spans="1:23" ht="18">
      <c r="A4" s="7"/>
      <c r="B4" s="7"/>
      <c r="C4" s="7"/>
      <c r="D4" s="7" t="s">
        <v>19</v>
      </c>
      <c r="E4" s="7" t="s">
        <v>20</v>
      </c>
      <c r="F4" s="7" t="s">
        <v>471</v>
      </c>
      <c r="G4" s="7" t="s">
        <v>21</v>
      </c>
      <c r="H4" s="7" t="s">
        <v>22</v>
      </c>
      <c r="I4" s="7" t="s">
        <v>23</v>
      </c>
      <c r="J4" s="20" t="s">
        <v>24</v>
      </c>
      <c r="K4" s="20" t="s">
        <v>479</v>
      </c>
      <c r="L4" s="20" t="s">
        <v>26</v>
      </c>
      <c r="M4" s="20" t="s">
        <v>27</v>
      </c>
      <c r="N4" s="226" t="s">
        <v>480</v>
      </c>
      <c r="O4" s="20" t="s">
        <v>57</v>
      </c>
      <c r="P4" s="19" t="s">
        <v>58</v>
      </c>
      <c r="Q4" s="227" t="s">
        <v>481</v>
      </c>
      <c r="V4" s="38" t="s">
        <v>85</v>
      </c>
      <c r="W4" s="39">
        <f>'FOGLIO DEPOSITO-muraturaC7-19'!H85</f>
        <v>1</v>
      </c>
    </row>
    <row r="5" spans="1:23" s="228" customFormat="1">
      <c r="B5" s="229">
        <v>1</v>
      </c>
      <c r="C5" s="230" t="s">
        <v>29</v>
      </c>
      <c r="D5" s="231">
        <f>(100+200)/2</f>
        <v>150</v>
      </c>
      <c r="E5" s="231">
        <f>(1.8+3.2)/2</f>
        <v>2.5</v>
      </c>
      <c r="F5" s="231" t="str">
        <f>"--"</f>
        <v>--</v>
      </c>
      <c r="G5" s="231">
        <f>(690+1050)/2</f>
        <v>870</v>
      </c>
      <c r="H5" s="231">
        <f>(230+350)/2</f>
        <v>290</v>
      </c>
      <c r="I5" s="231">
        <v>19</v>
      </c>
      <c r="J5" s="232">
        <v>1.5</v>
      </c>
      <c r="K5" s="232">
        <v>1.6</v>
      </c>
      <c r="L5" s="232">
        <v>1.3</v>
      </c>
      <c r="M5" s="232">
        <v>1.5</v>
      </c>
      <c r="N5" s="233">
        <v>1.5</v>
      </c>
      <c r="O5" s="232">
        <v>2</v>
      </c>
      <c r="P5" s="232">
        <v>2.5</v>
      </c>
      <c r="Q5" s="205">
        <v>3.5</v>
      </c>
      <c r="R5" s="234"/>
      <c r="S5" s="234"/>
      <c r="T5" s="234"/>
      <c r="U5" s="234"/>
      <c r="V5" s="235"/>
      <c r="W5" s="82"/>
    </row>
    <row r="6" spans="1:23" s="228" customFormat="1">
      <c r="B6" s="229">
        <v>2</v>
      </c>
      <c r="C6" s="230" t="s">
        <v>482</v>
      </c>
      <c r="D6" s="231">
        <v>200</v>
      </c>
      <c r="E6" s="231">
        <f>(3.5+5.1)/2</f>
        <v>4.3</v>
      </c>
      <c r="F6" s="231" t="str">
        <f>"--"</f>
        <v>--</v>
      </c>
      <c r="G6" s="231">
        <f>(1020+1440)/2</f>
        <v>1230</v>
      </c>
      <c r="H6" s="231">
        <f>(340+480)/2</f>
        <v>410</v>
      </c>
      <c r="I6" s="231">
        <v>20</v>
      </c>
      <c r="J6" s="232">
        <v>1.4</v>
      </c>
      <c r="K6" s="232">
        <v>1.5</v>
      </c>
      <c r="L6" s="232">
        <v>1.2</v>
      </c>
      <c r="M6" s="232">
        <v>1.5</v>
      </c>
      <c r="N6" s="233">
        <v>1.4</v>
      </c>
      <c r="O6" s="232">
        <v>1.7</v>
      </c>
      <c r="P6" s="232">
        <v>2</v>
      </c>
      <c r="Q6" s="205">
        <v>3</v>
      </c>
      <c r="R6" s="234"/>
      <c r="S6" s="234"/>
      <c r="T6" s="234"/>
      <c r="U6" s="234"/>
      <c r="V6" s="236" t="s">
        <v>85</v>
      </c>
      <c r="W6" s="82">
        <f>'FOGLIO DEPOSITO-muraturaC7-19'!H86</f>
        <v>1</v>
      </c>
    </row>
    <row r="7" spans="1:23" s="228" customFormat="1">
      <c r="B7" s="229">
        <v>3</v>
      </c>
      <c r="C7" s="230" t="s">
        <v>31</v>
      </c>
      <c r="D7" s="231">
        <f>(260+380)/2</f>
        <v>320</v>
      </c>
      <c r="E7" s="231">
        <f>(5.6+7.4)/2</f>
        <v>6.5</v>
      </c>
      <c r="F7" s="231" t="str">
        <f>"--"</f>
        <v>--</v>
      </c>
      <c r="G7" s="231">
        <f>(1500+1980)/2</f>
        <v>1740</v>
      </c>
      <c r="H7" s="231">
        <f>(500+660)/2</f>
        <v>580</v>
      </c>
      <c r="I7" s="231">
        <v>21</v>
      </c>
      <c r="J7" s="232">
        <v>1.3</v>
      </c>
      <c r="K7" s="232">
        <v>1.4</v>
      </c>
      <c r="L7" s="232">
        <v>1.1000000000000001</v>
      </c>
      <c r="M7" s="232">
        <v>1.3</v>
      </c>
      <c r="N7" s="233">
        <v>1.3</v>
      </c>
      <c r="O7" s="232">
        <v>1.5</v>
      </c>
      <c r="P7" s="232">
        <v>1.5</v>
      </c>
      <c r="Q7" s="205">
        <v>2.4</v>
      </c>
      <c r="R7" s="234"/>
      <c r="S7" s="234"/>
      <c r="T7" s="234"/>
      <c r="U7" s="234"/>
      <c r="V7" s="235"/>
      <c r="W7" s="82"/>
    </row>
    <row r="8" spans="1:23" s="228" customFormat="1">
      <c r="B8" s="229">
        <v>4</v>
      </c>
      <c r="C8" s="230" t="s">
        <v>483</v>
      </c>
      <c r="D8" s="231">
        <f>(140+220)/2</f>
        <v>180</v>
      </c>
      <c r="E8" s="231">
        <f>(2.8+4.2)/2</f>
        <v>3.5</v>
      </c>
      <c r="F8" s="231" t="str">
        <f>"--"</f>
        <v>--</v>
      </c>
      <c r="G8" s="231">
        <f>(900+1260)/2</f>
        <v>1080</v>
      </c>
      <c r="H8" s="231">
        <f>(300+420)/2</f>
        <v>360</v>
      </c>
      <c r="I8" s="231">
        <v>16</v>
      </c>
      <c r="J8" s="232">
        <v>1.5</v>
      </c>
      <c r="K8" s="232">
        <v>1.1000000000000001</v>
      </c>
      <c r="L8" s="232">
        <v>1.2</v>
      </c>
      <c r="M8" s="232">
        <v>1.3</v>
      </c>
      <c r="N8" s="233">
        <v>1.5</v>
      </c>
      <c r="O8" s="232">
        <v>1.4</v>
      </c>
      <c r="P8" s="232">
        <v>1.7</v>
      </c>
      <c r="Q8" s="205">
        <v>2</v>
      </c>
      <c r="R8" s="234"/>
      <c r="S8" s="234"/>
      <c r="T8" s="234"/>
      <c r="U8" s="234"/>
      <c r="V8" s="236" t="s">
        <v>85</v>
      </c>
      <c r="W8" s="82">
        <f>'FOGLIO DEPOSITO-muraturaC7-19'!H87</f>
        <v>1</v>
      </c>
    </row>
    <row r="9" spans="1:23" s="228" customFormat="1">
      <c r="B9" s="229">
        <v>5</v>
      </c>
      <c r="C9" s="230" t="s">
        <v>484</v>
      </c>
      <c r="D9" s="231">
        <f>(200+320)/2</f>
        <v>260</v>
      </c>
      <c r="E9" s="231">
        <f>(4+8)/2</f>
        <v>6</v>
      </c>
      <c r="F9" s="231">
        <f>(10+19)/2</f>
        <v>14.5</v>
      </c>
      <c r="G9" s="231">
        <f>(1200+1620)/2</f>
        <v>1410</v>
      </c>
      <c r="H9" s="231">
        <f>(400+500)/2</f>
        <v>450</v>
      </c>
      <c r="I9" s="231">
        <v>16</v>
      </c>
      <c r="J9" s="232">
        <v>1.6</v>
      </c>
      <c r="K9" s="232">
        <v>1.2</v>
      </c>
      <c r="L9" s="232">
        <v>1</v>
      </c>
      <c r="M9" s="232">
        <v>1.2</v>
      </c>
      <c r="N9" s="233">
        <v>1.6</v>
      </c>
      <c r="O9" s="232">
        <v>1.2</v>
      </c>
      <c r="P9" s="232">
        <v>1.5</v>
      </c>
      <c r="Q9" s="205">
        <v>1.8</v>
      </c>
      <c r="R9" s="234"/>
      <c r="S9" s="234"/>
      <c r="T9" s="234"/>
      <c r="U9" s="234"/>
      <c r="V9" s="235"/>
      <c r="W9" s="82"/>
    </row>
    <row r="10" spans="1:23" s="228" customFormat="1">
      <c r="B10" s="229">
        <v>6</v>
      </c>
      <c r="C10" s="230" t="s">
        <v>485</v>
      </c>
      <c r="D10" s="231">
        <f>(580+820)/2</f>
        <v>700</v>
      </c>
      <c r="E10" s="231">
        <f>(9+12)/2</f>
        <v>10.5</v>
      </c>
      <c r="F10" s="231">
        <f>(18+28)/2</f>
        <v>23</v>
      </c>
      <c r="G10" s="231">
        <f>(2400+3300)/2</f>
        <v>2850</v>
      </c>
      <c r="H10" s="231">
        <f>(800+1100)/2</f>
        <v>950</v>
      </c>
      <c r="I10" s="231">
        <v>22</v>
      </c>
      <c r="J10" s="232">
        <v>1.2</v>
      </c>
      <c r="K10" s="232">
        <v>1</v>
      </c>
      <c r="L10" s="232">
        <v>1</v>
      </c>
      <c r="M10" s="232">
        <v>1.2</v>
      </c>
      <c r="N10" s="233">
        <v>1.2</v>
      </c>
      <c r="O10" s="232">
        <v>1.2</v>
      </c>
      <c r="P10" s="232">
        <v>1.2</v>
      </c>
      <c r="Q10" s="205">
        <v>1.4</v>
      </c>
      <c r="R10" s="234"/>
      <c r="S10" s="234"/>
      <c r="T10" s="234"/>
      <c r="U10" s="234"/>
      <c r="V10" s="236" t="s">
        <v>85</v>
      </c>
      <c r="W10" s="82">
        <f>'FOGLIO DEPOSITO-muraturaC7-19'!H88</f>
        <v>1</v>
      </c>
    </row>
    <row r="11" spans="1:23" s="228" customFormat="1">
      <c r="B11" s="229">
        <v>7</v>
      </c>
      <c r="C11" s="230" t="s">
        <v>34</v>
      </c>
      <c r="D11" s="231">
        <f>(260+430)/2</f>
        <v>345</v>
      </c>
      <c r="E11" s="231">
        <f>(5+13)/2</f>
        <v>9</v>
      </c>
      <c r="F11" s="231">
        <f>(13+27)/2</f>
        <v>20</v>
      </c>
      <c r="G11" s="231">
        <f>(1200+1800)/2</f>
        <v>1500</v>
      </c>
      <c r="H11" s="231">
        <f>(400+600)/2</f>
        <v>500</v>
      </c>
      <c r="I11" s="231">
        <v>18</v>
      </c>
      <c r="J11" s="232">
        <v>1</v>
      </c>
      <c r="K11" s="232">
        <v>1.2</v>
      </c>
      <c r="L11" s="232">
        <v>1</v>
      </c>
      <c r="M11" s="232">
        <v>1.3</v>
      </c>
      <c r="N11" s="233">
        <v>1</v>
      </c>
      <c r="O11" s="232">
        <v>1.2</v>
      </c>
      <c r="P11" s="232">
        <v>1.5</v>
      </c>
      <c r="Q11" s="205">
        <v>1.8</v>
      </c>
      <c r="R11" s="234"/>
      <c r="S11" s="234"/>
      <c r="T11" s="234"/>
      <c r="U11" s="234"/>
      <c r="V11" s="235"/>
      <c r="W11" s="82"/>
    </row>
    <row r="12" spans="1:23" s="228" customFormat="1">
      <c r="B12" s="229">
        <v>8</v>
      </c>
      <c r="C12" s="230" t="s">
        <v>486</v>
      </c>
      <c r="D12" s="231">
        <f>(500+800)/2</f>
        <v>650</v>
      </c>
      <c r="E12" s="231">
        <f>(8+17)/2</f>
        <v>12.5</v>
      </c>
      <c r="F12" s="231">
        <f>(20+36)/2</f>
        <v>28</v>
      </c>
      <c r="G12" s="231">
        <f>(3500+5600)/2</f>
        <v>4550</v>
      </c>
      <c r="H12" s="231">
        <f>(875+1400)/2</f>
        <v>1137.5</v>
      </c>
      <c r="I12" s="231">
        <v>15</v>
      </c>
      <c r="J12" s="232">
        <v>1.2</v>
      </c>
      <c r="K12" s="232">
        <v>1</v>
      </c>
      <c r="L12" s="232">
        <v>1</v>
      </c>
      <c r="M12" s="232">
        <v>1</v>
      </c>
      <c r="N12" s="233">
        <v>1.2</v>
      </c>
      <c r="O12" s="232">
        <v>1</v>
      </c>
      <c r="P12" s="232">
        <v>1.3</v>
      </c>
      <c r="Q12" s="205">
        <v>1.3</v>
      </c>
      <c r="R12" s="234"/>
      <c r="S12" s="234"/>
      <c r="T12" s="234"/>
      <c r="U12" s="234"/>
      <c r="V12" s="236" t="s">
        <v>85</v>
      </c>
      <c r="W12" s="82">
        <f>'FOGLIO DEPOSITO-muraturaC7-19'!H89</f>
        <v>1</v>
      </c>
    </row>
    <row r="13" spans="1:23" s="228" customFormat="1">
      <c r="B13" s="237">
        <v>9</v>
      </c>
      <c r="C13" s="238" t="s">
        <v>29</v>
      </c>
      <c r="D13" s="239">
        <v>100</v>
      </c>
      <c r="E13" s="239">
        <v>1.8</v>
      </c>
      <c r="F13" s="239"/>
      <c r="G13" s="239">
        <f>(690+1050)/2</f>
        <v>870</v>
      </c>
      <c r="H13" s="239">
        <f>(230+350)/2</f>
        <v>290</v>
      </c>
      <c r="I13" s="239">
        <v>19</v>
      </c>
      <c r="J13" s="240">
        <v>1.5</v>
      </c>
      <c r="K13" s="240">
        <v>1.6</v>
      </c>
      <c r="L13" s="240">
        <v>1.3</v>
      </c>
      <c r="M13" s="240">
        <v>1.5</v>
      </c>
      <c r="N13" s="233">
        <v>1.5</v>
      </c>
      <c r="O13" s="240">
        <v>2</v>
      </c>
      <c r="P13" s="240">
        <v>2.5</v>
      </c>
      <c r="Q13" s="205">
        <v>3.5</v>
      </c>
      <c r="V13" s="241" t="s">
        <v>85</v>
      </c>
      <c r="W13" s="242">
        <f>'FOGLIO DEPOSITO-muraturaC7-19'!H91</f>
        <v>1</v>
      </c>
    </row>
    <row r="14" spans="1:23" s="228" customFormat="1">
      <c r="B14" s="237">
        <v>10</v>
      </c>
      <c r="C14" s="238" t="s">
        <v>482</v>
      </c>
      <c r="D14" s="239">
        <v>200</v>
      </c>
      <c r="E14" s="239">
        <v>3.5</v>
      </c>
      <c r="F14" s="239"/>
      <c r="G14" s="239">
        <f>(1020+1440)/2</f>
        <v>1230</v>
      </c>
      <c r="H14" s="239">
        <f>(340+480)/2</f>
        <v>410</v>
      </c>
      <c r="I14" s="239">
        <v>20</v>
      </c>
      <c r="J14" s="240">
        <v>1.4</v>
      </c>
      <c r="K14" s="240">
        <v>1.5</v>
      </c>
      <c r="L14" s="240">
        <v>1.2</v>
      </c>
      <c r="M14" s="240">
        <v>1.5</v>
      </c>
      <c r="N14" s="233">
        <v>1.4</v>
      </c>
      <c r="O14" s="240">
        <v>1.7</v>
      </c>
      <c r="P14" s="240">
        <v>2</v>
      </c>
      <c r="Q14" s="205">
        <v>3</v>
      </c>
    </row>
    <row r="15" spans="1:23" s="228" customFormat="1">
      <c r="B15" s="237">
        <v>11</v>
      </c>
      <c r="C15" s="238" t="s">
        <v>31</v>
      </c>
      <c r="D15" s="239">
        <v>260</v>
      </c>
      <c r="E15" s="239">
        <v>5.6</v>
      </c>
      <c r="F15" s="239"/>
      <c r="G15" s="239">
        <f>(1500+1980)/2</f>
        <v>1740</v>
      </c>
      <c r="H15" s="239">
        <f>(500+660)/2</f>
        <v>580</v>
      </c>
      <c r="I15" s="239">
        <v>21</v>
      </c>
      <c r="J15" s="240">
        <v>1.3</v>
      </c>
      <c r="K15" s="240">
        <v>1.4</v>
      </c>
      <c r="L15" s="240">
        <v>1.1000000000000001</v>
      </c>
      <c r="M15" s="240">
        <v>1.3</v>
      </c>
      <c r="N15" s="233">
        <v>1.3</v>
      </c>
      <c r="O15" s="240">
        <v>1.5</v>
      </c>
      <c r="P15" s="240">
        <v>1.5</v>
      </c>
      <c r="Q15" s="205">
        <v>2.4</v>
      </c>
    </row>
    <row r="16" spans="1:23" s="228" customFormat="1">
      <c r="B16" s="237">
        <v>12</v>
      </c>
      <c r="C16" s="238" t="s">
        <v>483</v>
      </c>
      <c r="D16" s="239">
        <v>140</v>
      </c>
      <c r="E16" s="239">
        <v>2.8</v>
      </c>
      <c r="F16" s="239"/>
      <c r="G16" s="239">
        <f>(900+1260)/2</f>
        <v>1080</v>
      </c>
      <c r="H16" s="239">
        <f>(300+420)/2</f>
        <v>360</v>
      </c>
      <c r="I16" s="239">
        <f>(13+16)/2</f>
        <v>14.5</v>
      </c>
      <c r="J16" s="240">
        <v>1.5</v>
      </c>
      <c r="K16" s="240">
        <v>1.1000000000000001</v>
      </c>
      <c r="L16" s="240">
        <v>1.2</v>
      </c>
      <c r="M16" s="240">
        <v>1.3</v>
      </c>
      <c r="N16" s="233">
        <v>1.5</v>
      </c>
      <c r="O16" s="240">
        <v>1.4</v>
      </c>
      <c r="P16" s="240">
        <v>1.7</v>
      </c>
      <c r="Q16" s="205">
        <v>2</v>
      </c>
    </row>
    <row r="17" spans="2:17" s="228" customFormat="1">
      <c r="B17" s="237">
        <v>13</v>
      </c>
      <c r="C17" s="238" t="s">
        <v>484</v>
      </c>
      <c r="D17" s="239">
        <v>200</v>
      </c>
      <c r="E17" s="239">
        <v>4</v>
      </c>
      <c r="F17" s="239">
        <v>10</v>
      </c>
      <c r="G17" s="239">
        <f>(1200+1620)/2</f>
        <v>1410</v>
      </c>
      <c r="H17" s="239">
        <f>(400+500)/2</f>
        <v>450</v>
      </c>
      <c r="I17" s="239">
        <f>(13+16)/2</f>
        <v>14.5</v>
      </c>
      <c r="J17" s="240">
        <v>1.6</v>
      </c>
      <c r="K17" s="240">
        <v>1.2</v>
      </c>
      <c r="L17" s="240">
        <v>1</v>
      </c>
      <c r="M17" s="240">
        <v>1.2</v>
      </c>
      <c r="N17" s="233">
        <v>1.6</v>
      </c>
      <c r="O17" s="240">
        <v>1.2</v>
      </c>
      <c r="P17" s="240">
        <v>1.5</v>
      </c>
      <c r="Q17" s="205">
        <v>1.8</v>
      </c>
    </row>
    <row r="18" spans="2:17" s="228" customFormat="1">
      <c r="B18" s="237">
        <v>14</v>
      </c>
      <c r="C18" s="238" t="s">
        <v>485</v>
      </c>
      <c r="D18" s="239">
        <v>580</v>
      </c>
      <c r="E18" s="239">
        <v>9</v>
      </c>
      <c r="F18" s="239">
        <v>18</v>
      </c>
      <c r="G18" s="239">
        <f>(2400+3300)/2</f>
        <v>2850</v>
      </c>
      <c r="H18" s="239">
        <f>(800+1100)/2</f>
        <v>950</v>
      </c>
      <c r="I18" s="239">
        <v>22</v>
      </c>
      <c r="J18" s="240">
        <v>1.2</v>
      </c>
      <c r="K18" s="240">
        <v>1</v>
      </c>
      <c r="L18" s="240">
        <v>1</v>
      </c>
      <c r="M18" s="240">
        <v>1.2</v>
      </c>
      <c r="N18" s="233">
        <v>1.2</v>
      </c>
      <c r="O18" s="240">
        <v>1.2</v>
      </c>
      <c r="P18" s="240">
        <v>1.2</v>
      </c>
      <c r="Q18" s="205">
        <v>1.4</v>
      </c>
    </row>
    <row r="19" spans="2:17" s="228" customFormat="1">
      <c r="B19" s="237">
        <v>15</v>
      </c>
      <c r="C19" s="238" t="s">
        <v>34</v>
      </c>
      <c r="D19" s="239">
        <v>260</v>
      </c>
      <c r="E19" s="239">
        <v>5</v>
      </c>
      <c r="F19" s="239">
        <v>13</v>
      </c>
      <c r="G19" s="239">
        <f>(1200+1800)/2</f>
        <v>1500</v>
      </c>
      <c r="H19" s="239">
        <f>(400+600)/2</f>
        <v>500</v>
      </c>
      <c r="I19" s="239">
        <v>18</v>
      </c>
      <c r="J19" s="240">
        <v>1</v>
      </c>
      <c r="K19" s="240">
        <v>1.2</v>
      </c>
      <c r="L19" s="240">
        <v>1</v>
      </c>
      <c r="M19" s="240">
        <v>1.3</v>
      </c>
      <c r="N19" s="233">
        <v>1</v>
      </c>
      <c r="O19" s="240">
        <v>1.2</v>
      </c>
      <c r="P19" s="240">
        <v>1.5</v>
      </c>
      <c r="Q19" s="205">
        <v>1.8</v>
      </c>
    </row>
    <row r="20" spans="2:17" s="228" customFormat="1">
      <c r="B20" s="237">
        <v>16</v>
      </c>
      <c r="C20" s="238" t="s">
        <v>486</v>
      </c>
      <c r="D20" s="239">
        <v>500</v>
      </c>
      <c r="E20" s="239">
        <v>8</v>
      </c>
      <c r="F20" s="239">
        <v>20</v>
      </c>
      <c r="G20" s="239">
        <f>(3500+5600)/2</f>
        <v>4550</v>
      </c>
      <c r="H20" s="239">
        <f>(875+1400)/2</f>
        <v>1137.5</v>
      </c>
      <c r="I20" s="239">
        <v>15</v>
      </c>
      <c r="J20" s="240">
        <v>1.2</v>
      </c>
      <c r="K20" s="240">
        <v>1</v>
      </c>
      <c r="L20" s="240">
        <v>1</v>
      </c>
      <c r="M20" s="240">
        <v>1</v>
      </c>
      <c r="N20" s="233">
        <v>1.2</v>
      </c>
      <c r="O20" s="240">
        <v>1</v>
      </c>
      <c r="P20" s="240">
        <v>1.3</v>
      </c>
      <c r="Q20" s="205">
        <v>1.3</v>
      </c>
    </row>
    <row r="26" spans="2:17">
      <c r="B26" s="9" t="str">
        <f t="shared" ref="B26:B33" si="0">C5</f>
        <v xml:space="preserve">Muratura in pietrame disordinata </v>
      </c>
      <c r="C26" s="7">
        <v>1</v>
      </c>
      <c r="D26" s="10">
        <v>2</v>
      </c>
      <c r="G26" s="3" t="s">
        <v>55</v>
      </c>
    </row>
    <row r="27" spans="2:17">
      <c r="B27" s="9" t="str">
        <f t="shared" si="0"/>
        <v>Muratura a conci sbozzati, con paramenti di limitato spessore disomogeneo</v>
      </c>
      <c r="C27" s="7">
        <v>1</v>
      </c>
      <c r="D27" s="7">
        <v>2</v>
      </c>
      <c r="G27" s="3" t="s">
        <v>56</v>
      </c>
      <c r="J27" s="21">
        <f>IF('FOGLIO DEPOSITO-muraturaC7-19'!$D$39=1,VLOOKUP('FOGLIO DEPOSITO-muraturaC7-19'!$B$82,'FOGLIO DEPOSITO-muraturaC7-19'!$C$5:$P$12,'FOGLIO DEPOSITO-muraturaC7-19'!J3,FALSE),VLOOKUP('FOGLIO DEPOSITO-muraturaC7-19'!$B$82,'FOGLIO DEPOSITO-muraturaC7-19'!$C$13:$P$20,'FOGLIO DEPOSITO-muraturaC7-19'!J3,FALSE))</f>
        <v>1.2</v>
      </c>
      <c r="K27" s="18" t="s">
        <v>24</v>
      </c>
    </row>
    <row r="28" spans="2:17">
      <c r="B28" s="9" t="str">
        <f t="shared" si="0"/>
        <v xml:space="preserve">Muratura in pietre a spacco con buona tessitura </v>
      </c>
      <c r="C28" s="7">
        <v>1</v>
      </c>
      <c r="D28" s="7">
        <v>2</v>
      </c>
      <c r="J28" s="21"/>
    </row>
    <row r="29" spans="2:17">
      <c r="B29" s="9" t="str">
        <f t="shared" si="0"/>
        <v xml:space="preserve">Muratura irregolare di pietra tenera </v>
      </c>
      <c r="C29" s="7">
        <v>1</v>
      </c>
      <c r="D29" s="7">
        <v>2</v>
      </c>
      <c r="G29" s="1" t="s">
        <v>59</v>
      </c>
      <c r="H29" s="1">
        <v>2</v>
      </c>
      <c r="J29" s="21">
        <f>IF('FOGLIO DEPOSITO-muraturaC7-19'!$D$39=1,VLOOKUP('FOGLIO DEPOSITO-muraturaC7-19'!$B$82,'FOGLIO DEPOSITO-muraturaC7-19'!$C$5:$P$12,'FOGLIO DEPOSITO-muraturaC7-19'!K3,FALSE),VLOOKUP('FOGLIO DEPOSITO-muraturaC7-19'!$B$82,'FOGLIO DEPOSITO-muraturaC7-19'!$C$13:$P$20,'FOGLIO DEPOSITO-muraturaC7-19'!K3,FALSE))</f>
        <v>1</v>
      </c>
      <c r="K29" s="18" t="s">
        <v>479</v>
      </c>
    </row>
    <row r="30" spans="2:17">
      <c r="B30" s="9" t="str">
        <f t="shared" si="0"/>
        <v>Muratura a conci regolari di pietra tenera</v>
      </c>
      <c r="C30" s="7">
        <v>1</v>
      </c>
      <c r="D30" s="7">
        <v>2</v>
      </c>
      <c r="G30" s="1" t="s">
        <v>60</v>
      </c>
      <c r="H30" s="1">
        <v>1</v>
      </c>
      <c r="J30" s="21"/>
    </row>
    <row r="31" spans="2:17">
      <c r="B31" s="9" t="str">
        <f t="shared" si="0"/>
        <v>Muratura a blocchi lapidei squadrati</v>
      </c>
      <c r="C31" s="7">
        <v>1</v>
      </c>
      <c r="D31" s="7">
        <v>2</v>
      </c>
      <c r="G31" s="1" t="s">
        <v>141</v>
      </c>
      <c r="H31" s="1">
        <f>DATI!F55</f>
        <v>3</v>
      </c>
      <c r="J31" s="21">
        <f>IF('FOGLIO DEPOSITO-muraturaC7-19'!$D$39=1,VLOOKUP('FOGLIO DEPOSITO-muraturaC7-19'!$B$82,'FOGLIO DEPOSITO-muraturaC7-19'!$C$5:$P$12,'FOGLIO DEPOSITO-muraturaC7-19'!L3,FALSE),VLOOKUP('FOGLIO DEPOSITO-muraturaC7-19'!$B$82,'FOGLIO DEPOSITO-muraturaC7-19'!$C$13:$P$20,'FOGLIO DEPOSITO-muraturaC7-19'!L3,FALSE))</f>
        <v>1</v>
      </c>
      <c r="K31" s="18" t="s">
        <v>52</v>
      </c>
    </row>
    <row r="32" spans="2:17">
      <c r="B32" s="9" t="str">
        <f t="shared" si="0"/>
        <v>Muratura in mattoni pieni e malta di calce</v>
      </c>
      <c r="C32" s="7">
        <v>1</v>
      </c>
      <c r="D32" s="7">
        <v>2</v>
      </c>
      <c r="J32" s="21"/>
    </row>
    <row r="33" spans="2:12">
      <c r="B33" s="9" t="str">
        <f t="shared" si="0"/>
        <v>Muratura in mattoni semipieni con malta cementizia (doppio UNI foratura&lt;40%)</v>
      </c>
      <c r="C33" s="7">
        <v>1</v>
      </c>
      <c r="D33" s="7">
        <v>2</v>
      </c>
      <c r="J33" s="21">
        <f>IF('FOGLIO DEPOSITO-muraturaC7-19'!$D$39=1,VLOOKUP('FOGLIO DEPOSITO-muraturaC7-19'!$B$82,'FOGLIO DEPOSITO-muraturaC7-19'!$C$5:$P$12,'FOGLIO DEPOSITO-muraturaC7-19'!M3,FALSE),VLOOKUP('FOGLIO DEPOSITO-muraturaC7-19'!$B$82,'FOGLIO DEPOSITO-muraturaC7-19'!$C$13:$P$20,'FOGLIO DEPOSITO-muraturaC7-19'!M3,FALSE))</f>
        <v>1.2</v>
      </c>
      <c r="K33" s="18" t="s">
        <v>50</v>
      </c>
    </row>
    <row r="34" spans="2:12">
      <c r="B34" s="9"/>
      <c r="C34" s="7"/>
      <c r="D34" s="7"/>
      <c r="J34" s="21"/>
    </row>
    <row r="35" spans="2:12">
      <c r="B35" s="9"/>
      <c r="C35" s="7"/>
      <c r="D35" s="7"/>
      <c r="J35" s="243">
        <f>IF('FOGLIO DEPOSITO-muraturaC7-19'!$D$39=1,VLOOKUP('FOGLIO DEPOSITO-muraturaC7-19'!$B$82,'FOGLIO DEPOSITO-muraturaC7-19'!$C$5:$P$12,'FOGLIO DEPOSITO-muraturaC7-19'!N3,FALSE),VLOOKUP('FOGLIO DEPOSITO-muraturaC7-19'!$B$82,'FOGLIO DEPOSITO-muraturaC7-19'!$C$13:$P$20,'FOGLIO DEPOSITO-muraturaC7-19'!N3,FALSE))</f>
        <v>1.2</v>
      </c>
      <c r="K35" s="244" t="s">
        <v>487</v>
      </c>
      <c r="L35" s="245"/>
    </row>
    <row r="36" spans="2:12">
      <c r="B36" s="9"/>
      <c r="C36" s="7"/>
      <c r="D36" s="7"/>
      <c r="J36" s="21"/>
    </row>
    <row r="37" spans="2:12">
      <c r="J37" s="21">
        <f>IF('FOGLIO DEPOSITO-muraturaC7-19'!$D$39=1,VLOOKUP('FOGLIO DEPOSITO-muraturaC7-19'!$B$82,'FOGLIO DEPOSITO-muraturaC7-19'!$C$5:$P$12,'FOGLIO DEPOSITO-muraturaC7-19'!O3,FALSE),VLOOKUP('FOGLIO DEPOSITO-muraturaC7-19'!$B$82,'FOGLIO DEPOSITO-muraturaC7-19'!$C$13:$P$20,'FOGLIO DEPOSITO-muraturaC7-19'!O3,FALSE))</f>
        <v>1.2</v>
      </c>
      <c r="K37" s="3" t="s">
        <v>54</v>
      </c>
    </row>
    <row r="38" spans="2:12">
      <c r="J38" s="21"/>
    </row>
    <row r="39" spans="2:12">
      <c r="B39" s="13" t="s">
        <v>48</v>
      </c>
      <c r="C39" s="14">
        <v>1.35</v>
      </c>
      <c r="D39" s="17">
        <f>IF(DATI!F31="LC1",2,1)</f>
        <v>2</v>
      </c>
      <c r="J39" s="21">
        <f>IF('FOGLIO DEPOSITO-muraturaC7-19'!$D$39=1,VLOOKUP('FOGLIO DEPOSITO-muraturaC7-19'!$B$82,'FOGLIO DEPOSITO-muraturaC7-19'!$C$5:$P$12,'FOGLIO DEPOSITO-muraturaC7-19'!P3,FALSE),VLOOKUP('FOGLIO DEPOSITO-muraturaC7-19'!$B$82,'FOGLIO DEPOSITO-muraturaC7-19'!$C$13:$P$20,'FOGLIO DEPOSITO-muraturaC7-19'!P3,FALSE))</f>
        <v>1.2</v>
      </c>
      <c r="K39" s="3" t="s">
        <v>93</v>
      </c>
    </row>
    <row r="40" spans="2:12">
      <c r="B40" s="13" t="s">
        <v>43</v>
      </c>
      <c r="C40" s="14">
        <v>1.2</v>
      </c>
    </row>
    <row r="41" spans="2:12">
      <c r="B41" s="13" t="s">
        <v>49</v>
      </c>
      <c r="C41" s="14">
        <v>1</v>
      </c>
    </row>
    <row r="48" spans="2:12">
      <c r="E48" s="46" t="s">
        <v>7</v>
      </c>
      <c r="F48" s="46"/>
      <c r="G48" s="47">
        <f>'Caratteristiche Materiale C7-19'!I19</f>
        <v>22</v>
      </c>
      <c r="H48" s="47" t="s">
        <v>112</v>
      </c>
      <c r="K48" s="52" t="s">
        <v>132</v>
      </c>
      <c r="L48" s="17">
        <v>1</v>
      </c>
    </row>
    <row r="49" spans="5:12" ht="18.75">
      <c r="E49" s="48" t="s">
        <v>8</v>
      </c>
      <c r="F49" s="48"/>
      <c r="G49" s="47">
        <f>'Caratteristiche Materiale C7-19'!I20</f>
        <v>5800</v>
      </c>
      <c r="H49" s="47" t="s">
        <v>110</v>
      </c>
      <c r="K49" s="52" t="s">
        <v>133</v>
      </c>
      <c r="L49" s="17">
        <v>0.75</v>
      </c>
    </row>
    <row r="50" spans="5:12" ht="18.75">
      <c r="E50" s="48" t="s">
        <v>111</v>
      </c>
      <c r="F50" s="48"/>
      <c r="G50" s="49">
        <f>'Caratteristiche Materiale C7-19'!I24</f>
        <v>2148.1481481481478</v>
      </c>
      <c r="H50" s="47" t="s">
        <v>110</v>
      </c>
      <c r="K50" s="52" t="s">
        <v>134</v>
      </c>
      <c r="L50" s="17">
        <v>0.5</v>
      </c>
    </row>
    <row r="51" spans="5:12" ht="18.75">
      <c r="E51" s="50" t="s">
        <v>3</v>
      </c>
      <c r="F51" s="50"/>
      <c r="G51" s="49">
        <f>'Caratteristiche Materiale C7-19'!I21</f>
        <v>90</v>
      </c>
      <c r="H51" s="47" t="s">
        <v>110</v>
      </c>
    </row>
    <row r="52" spans="5:12">
      <c r="E52" s="47"/>
      <c r="F52" s="47"/>
      <c r="G52" s="47"/>
      <c r="H52" s="47"/>
    </row>
    <row r="53" spans="5:12">
      <c r="E53" s="46" t="s">
        <v>0</v>
      </c>
      <c r="F53" s="46"/>
      <c r="G53" s="49">
        <f>DATI!F32</f>
        <v>1.35</v>
      </c>
      <c r="H53" s="47" t="s">
        <v>109</v>
      </c>
    </row>
    <row r="54" spans="5:12" ht="18.75">
      <c r="E54" s="51" t="s">
        <v>6</v>
      </c>
      <c r="F54" s="51"/>
      <c r="G54" s="47">
        <f>DATI!F54</f>
        <v>2</v>
      </c>
      <c r="H54" s="47" t="s">
        <v>109</v>
      </c>
    </row>
    <row r="60" spans="5:12">
      <c r="E60" s="3">
        <v>0</v>
      </c>
      <c r="G60" s="3">
        <v>0</v>
      </c>
    </row>
    <row r="61" spans="5:12">
      <c r="E61" s="3">
        <v>-6.9999999999999999E-4</v>
      </c>
      <c r="G61" s="3">
        <v>0</v>
      </c>
    </row>
    <row r="62" spans="5:12">
      <c r="E62" s="3">
        <v>-6.9999999999999999E-4</v>
      </c>
      <c r="G62" s="44">
        <v>-1437.5</v>
      </c>
    </row>
    <row r="63" spans="5:12">
      <c r="E63" s="3">
        <v>-3.5000000000000001E-3</v>
      </c>
      <c r="G63" s="44">
        <f>G62</f>
        <v>-1437.5</v>
      </c>
    </row>
    <row r="64" spans="5:12">
      <c r="E64" s="3">
        <f>E63</f>
        <v>-3.5000000000000001E-3</v>
      </c>
      <c r="G64" s="3">
        <v>0</v>
      </c>
    </row>
    <row r="82" spans="2:15">
      <c r="B82" s="248" t="str">
        <f>DATI!B28</f>
        <v>Muratura a blocchi lapidei squadrati</v>
      </c>
      <c r="C82" s="248"/>
      <c r="D82" s="248"/>
      <c r="E82" s="248"/>
      <c r="F82" s="248"/>
      <c r="G82" s="248"/>
      <c r="H82" s="249" t="s">
        <v>19</v>
      </c>
      <c r="I82" s="249" t="s">
        <v>20</v>
      </c>
      <c r="J82" s="249" t="s">
        <v>488</v>
      </c>
      <c r="K82" s="249" t="s">
        <v>21</v>
      </c>
      <c r="L82" s="249" t="s">
        <v>22</v>
      </c>
      <c r="M82" s="249" t="s">
        <v>23</v>
      </c>
      <c r="N82" s="249"/>
      <c r="O82" s="246">
        <f>IF(DATI!F43="SI",1,0)</f>
        <v>0</v>
      </c>
    </row>
    <row r="83" spans="2:15">
      <c r="B83" s="248"/>
      <c r="C83" s="248"/>
      <c r="D83" s="248"/>
      <c r="E83" s="248"/>
      <c r="F83" s="248"/>
      <c r="G83" s="248"/>
      <c r="H83" s="249"/>
      <c r="I83" s="249"/>
      <c r="J83" s="249"/>
      <c r="K83" s="249"/>
      <c r="L83" s="249"/>
      <c r="M83" s="249"/>
      <c r="N83" s="249"/>
      <c r="O83" s="246"/>
    </row>
    <row r="84" spans="2:15">
      <c r="B84" s="248"/>
      <c r="C84" s="248"/>
      <c r="D84" s="248"/>
      <c r="E84" s="248"/>
      <c r="F84" s="248"/>
      <c r="G84" s="248"/>
      <c r="H84" s="24">
        <f>IF('FOGLIO DEPOSITO-muraturaC7-19'!$D$39=1,VLOOKUP('FOGLIO DEPOSITO-muraturaC7-19'!$B$82,'FOGLIO DEPOSITO-muraturaC7-19'!$C$5:$P$12,'FOGLIO DEPOSITO-muraturaC7-19'!D3,FALSE),VLOOKUP('FOGLIO DEPOSITO-muraturaC7-19'!$B$82,'FOGLIO DEPOSITO-muraturaC7-19'!$C$13:$P$20,'FOGLIO DEPOSITO-muraturaC7-19'!D3,FALSE))</f>
        <v>580</v>
      </c>
      <c r="I84" s="24">
        <f>IF('FOGLIO DEPOSITO-muraturaC7-19'!$D$39=1,VLOOKUP('FOGLIO DEPOSITO-muraturaC7-19'!$B$82,'FOGLIO DEPOSITO-muraturaC7-19'!$C$5:$P$12,'FOGLIO DEPOSITO-muraturaC7-19'!E3,FALSE),VLOOKUP('FOGLIO DEPOSITO-muraturaC7-19'!$B$82,'FOGLIO DEPOSITO-muraturaC7-19'!$C$13:$P$20,'FOGLIO DEPOSITO-muraturaC7-19'!E3,FALSE))</f>
        <v>9</v>
      </c>
      <c r="J84" s="24">
        <f>IF('FOGLIO DEPOSITO-muraturaC7-19'!$D$39=1,VLOOKUP('FOGLIO DEPOSITO-muraturaC7-19'!$B$82,'FOGLIO DEPOSITO-muraturaC7-19'!$C$5:$P$12,'FOGLIO DEPOSITO-muraturaC7-19'!F3,FALSE),VLOOKUP('FOGLIO DEPOSITO-muraturaC7-19'!$B$82,'FOGLIO DEPOSITO-muraturaC7-19'!$C$13:$P$20,'FOGLIO DEPOSITO-muraturaC7-19'!F3,FALSE))</f>
        <v>18</v>
      </c>
      <c r="K84" s="205">
        <f>IF('FOGLIO DEPOSITO-muraturaC7-19'!$D$39=1,VLOOKUP('FOGLIO DEPOSITO-muraturaC7-19'!$B$82,'FOGLIO DEPOSITO-muraturaC7-19'!$C$5:$P$12,'FOGLIO DEPOSITO-muraturaC7-19'!G3,FALSE),VLOOKUP('FOGLIO DEPOSITO-muraturaC7-19'!$B$82,'FOGLIO DEPOSITO-muraturaC7-19'!$C$13:$P$20,'FOGLIO DEPOSITO-muraturaC7-19'!G3,FALSE))</f>
        <v>2850</v>
      </c>
      <c r="L84" s="205">
        <f>IF('FOGLIO DEPOSITO-muraturaC7-19'!$D$39=1,VLOOKUP('FOGLIO DEPOSITO-muraturaC7-19'!$B$82,'FOGLIO DEPOSITO-muraturaC7-19'!$C$5:$P$12,'FOGLIO DEPOSITO-muraturaC7-19'!H3,FALSE),VLOOKUP('FOGLIO DEPOSITO-muraturaC7-19'!$B$82,'FOGLIO DEPOSITO-muraturaC7-19'!$C$13:$P$20,'FOGLIO DEPOSITO-muraturaC7-19'!H3,FALSE))</f>
        <v>950</v>
      </c>
      <c r="M84" s="205">
        <f>IF('FOGLIO DEPOSITO-muraturaC7-19'!$D$39=1,VLOOKUP('FOGLIO DEPOSITO-muraturaC7-19'!$B$82,'FOGLIO DEPOSITO-muraturaC7-19'!$C$5:$P$12,'FOGLIO DEPOSITO-muraturaC7-19'!I3,FALSE),VLOOKUP('FOGLIO DEPOSITO-muraturaC7-19'!$B$82,'FOGLIO DEPOSITO-muraturaC7-19'!$C$13:$P$20,'FOGLIO DEPOSITO-muraturaC7-19'!I3,FALSE))</f>
        <v>22</v>
      </c>
      <c r="N84" s="205"/>
      <c r="O84" s="246">
        <f>IF(DATI!F45="SI",1,0)</f>
        <v>0</v>
      </c>
    </row>
    <row r="85" spans="2:15">
      <c r="B85" s="250" t="s">
        <v>24</v>
      </c>
      <c r="C85" s="250"/>
      <c r="D85" s="250"/>
      <c r="E85" s="250"/>
      <c r="F85" s="250"/>
      <c r="G85" s="250"/>
      <c r="H85" s="205">
        <f>IF(H90&gt;1,1,IF(DATI!F37="si",'FOGLIO DEPOSITO-muraturaC7-19'!J27,1))</f>
        <v>1</v>
      </c>
      <c r="I85" s="205">
        <f>H85</f>
        <v>1</v>
      </c>
      <c r="J85" s="205">
        <f t="shared" ref="J85:J91" si="1">H85</f>
        <v>1</v>
      </c>
      <c r="K85" s="205">
        <f>H85</f>
        <v>1</v>
      </c>
      <c r="L85" s="205">
        <f>H85</f>
        <v>1</v>
      </c>
      <c r="M85" s="205">
        <v>1</v>
      </c>
      <c r="N85" s="205"/>
      <c r="O85" s="246"/>
    </row>
    <row r="86" spans="2:15">
      <c r="B86" s="250" t="s">
        <v>489</v>
      </c>
      <c r="C86" s="250"/>
      <c r="D86" s="250"/>
      <c r="E86" s="250"/>
      <c r="F86" s="250"/>
      <c r="G86" s="250"/>
      <c r="H86" s="205">
        <f>IF(DATI!F47="si",'FOGLIO DEPOSITO-muraturaC7-19'!J29,1)</f>
        <v>1</v>
      </c>
      <c r="I86" s="205">
        <f>IF(H86&gt;1,(H86-1)/2+1,1)</f>
        <v>1</v>
      </c>
      <c r="J86" s="205">
        <f t="shared" si="1"/>
        <v>1</v>
      </c>
      <c r="K86" s="205">
        <f>H86</f>
        <v>1</v>
      </c>
      <c r="L86" s="205">
        <f>H86</f>
        <v>1</v>
      </c>
      <c r="M86" s="205">
        <v>1</v>
      </c>
      <c r="N86" s="205"/>
      <c r="O86" s="246">
        <f>IF(DATI!F47="SI",1,0)</f>
        <v>0</v>
      </c>
    </row>
    <row r="87" spans="2:15">
      <c r="B87" s="250" t="s">
        <v>52</v>
      </c>
      <c r="C87" s="250"/>
      <c r="D87" s="250"/>
      <c r="E87" s="250"/>
      <c r="F87" s="250"/>
      <c r="G87" s="250"/>
      <c r="H87" s="205">
        <f>IF(DATI!F39="si",'FOGLIO DEPOSITO-muraturaC7-19'!J31,1)</f>
        <v>1</v>
      </c>
      <c r="I87" s="205">
        <f>H87</f>
        <v>1</v>
      </c>
      <c r="J87" s="205">
        <f t="shared" si="1"/>
        <v>1</v>
      </c>
      <c r="K87" s="205">
        <v>1</v>
      </c>
      <c r="L87" s="205">
        <v>1</v>
      </c>
      <c r="M87" s="205">
        <v>1</v>
      </c>
      <c r="N87" s="205"/>
      <c r="O87" s="246"/>
    </row>
    <row r="88" spans="2:15">
      <c r="B88" s="250" t="s">
        <v>50</v>
      </c>
      <c r="C88" s="250"/>
      <c r="D88" s="250"/>
      <c r="E88" s="250"/>
      <c r="F88" s="250"/>
      <c r="G88" s="250"/>
      <c r="H88" s="205">
        <f>IF(DATI!F41="si",'FOGLIO DEPOSITO-muraturaC7-19'!J33,1)</f>
        <v>1</v>
      </c>
      <c r="I88" s="205">
        <f>H88</f>
        <v>1</v>
      </c>
      <c r="J88" s="205">
        <f t="shared" si="1"/>
        <v>1</v>
      </c>
      <c r="K88" s="205">
        <v>1</v>
      </c>
      <c r="L88" s="205">
        <v>1</v>
      </c>
      <c r="M88" s="205">
        <v>1</v>
      </c>
      <c r="N88" s="205"/>
      <c r="O88" s="246">
        <f>IF(DATI!F49="SI",1,0)</f>
        <v>0</v>
      </c>
    </row>
    <row r="89" spans="2:15">
      <c r="B89" s="250" t="s">
        <v>490</v>
      </c>
      <c r="C89" s="250"/>
      <c r="D89" s="250"/>
      <c r="E89" s="250"/>
      <c r="F89" s="250"/>
      <c r="G89" s="250"/>
      <c r="H89" s="205">
        <f>IF(DATI!F49="si",'FOGLIO DEPOSITO-muraturaC7-19'!J35,1)</f>
        <v>1</v>
      </c>
      <c r="I89" s="204">
        <f>H89</f>
        <v>1</v>
      </c>
      <c r="J89" s="205">
        <f t="shared" si="1"/>
        <v>1</v>
      </c>
      <c r="K89" s="205">
        <v>1</v>
      </c>
      <c r="L89" s="205">
        <v>1</v>
      </c>
      <c r="M89" s="205">
        <v>1</v>
      </c>
      <c r="N89" s="205"/>
    </row>
    <row r="90" spans="2:15">
      <c r="B90" s="251" t="s">
        <v>54</v>
      </c>
      <c r="C90" s="251"/>
      <c r="D90" s="251"/>
      <c r="E90" s="251"/>
      <c r="F90" s="251"/>
      <c r="G90" s="251"/>
      <c r="H90" s="205">
        <f>IF(DATI!F43="si",'FOGLIO DEPOSITO-muraturaC7-19'!J37,1)</f>
        <v>1</v>
      </c>
      <c r="I90" s="205">
        <f>H90</f>
        <v>1</v>
      </c>
      <c r="J90" s="205">
        <f t="shared" si="1"/>
        <v>1</v>
      </c>
      <c r="K90" s="205">
        <f>H90</f>
        <v>1</v>
      </c>
      <c r="L90" s="205">
        <f>H90</f>
        <v>1</v>
      </c>
      <c r="M90" s="205">
        <v>1</v>
      </c>
      <c r="N90" s="205"/>
    </row>
    <row r="91" spans="2:15">
      <c r="B91" s="251" t="s">
        <v>93</v>
      </c>
      <c r="C91" s="251"/>
      <c r="D91" s="251"/>
      <c r="E91" s="251"/>
      <c r="F91" s="251"/>
      <c r="G91" s="251"/>
      <c r="H91" s="205">
        <f>IF(DATI!F45="si",'FOGLIO DEPOSITO-muraturaC7-19'!J39,1)</f>
        <v>1</v>
      </c>
      <c r="I91" s="205">
        <f>H91</f>
        <v>1</v>
      </c>
      <c r="J91" s="205">
        <f t="shared" si="1"/>
        <v>1</v>
      </c>
      <c r="K91" s="205">
        <f>H91</f>
        <v>1</v>
      </c>
      <c r="L91" s="205">
        <f>H91</f>
        <v>1</v>
      </c>
      <c r="M91" s="205">
        <v>1</v>
      </c>
      <c r="N91" s="205"/>
    </row>
    <row r="94" spans="2:15">
      <c r="H94" s="81">
        <f>'Caratteristiche Materiale C7-19'!G6*'Caratteristiche Materiale C7-19'!G7*'Caratteristiche Materiale C7-19'!G12*'Caratteristiche Materiale C7-19'!G8*'Caratteristiche Materiale C7-19'!G9*'Caratteristiche Materiale C7-19'!G13*'Caratteristiche Materiale C7-19'!G10*'Caratteristiche Materiale C7-19'!G11</f>
        <v>580</v>
      </c>
      <c r="I94" s="81">
        <f>'Caratteristiche Materiale C7-19'!H6*'Caratteristiche Materiale C7-19'!H7*'Caratteristiche Materiale C7-19'!H12*'Caratteristiche Materiale C7-19'!H8*'Caratteristiche Materiale C7-19'!H9*'Caratteristiche Materiale C7-19'!H13*'Caratteristiche Materiale C7-19'!H10*'Caratteristiche Materiale C7-19'!H11</f>
        <v>9</v>
      </c>
      <c r="J94" s="81">
        <f>J84*J85*J86*J87*J88*J89*J90*J91</f>
        <v>18</v>
      </c>
      <c r="K94" s="81">
        <f>'Caratteristiche Materiale C7-19'!J6*'Caratteristiche Materiale C7-19'!J7*'Caratteristiche Materiale C7-19'!J12*'Caratteristiche Materiale C7-19'!J8*'Caratteristiche Materiale C7-19'!J9*'Caratteristiche Materiale C7-19'!J13*'Caratteristiche Materiale C7-19'!J10*'Caratteristiche Materiale C7-19'!J11</f>
        <v>2850</v>
      </c>
      <c r="L94" s="81">
        <f>'Caratteristiche Materiale C7-19'!K6*'Caratteristiche Materiale C7-19'!K7*'Caratteristiche Materiale C7-19'!K12*'Caratteristiche Materiale C7-19'!K8*'Caratteristiche Materiale C7-19'!K9*'Caratteristiche Materiale C7-19'!K13*'Caratteristiche Materiale C7-19'!K10*'Caratteristiche Materiale C7-19'!K11</f>
        <v>950</v>
      </c>
      <c r="M94" s="81">
        <f>'Caratteristiche Materiale C7-19'!L6*'Caratteristiche Materiale C7-19'!L7*'Caratteristiche Materiale C7-19'!L12*'Caratteristiche Materiale C7-19'!L8*'Caratteristiche Materiale C7-19'!L9*'Caratteristiche Materiale C7-19'!L13*'Caratteristiche Materiale C7-19'!L10*'Caratteristiche Materiale C7-19'!L11</f>
        <v>22</v>
      </c>
    </row>
    <row r="96" spans="2:15">
      <c r="N96" s="82">
        <f>VLOOKUP(DATI!F51,'FOGLIO DEPOSITO-muraturaC7-19'!K48:L50,2,FALSE)</f>
        <v>1</v>
      </c>
    </row>
    <row r="105" spans="2:6">
      <c r="B105" s="34" t="s">
        <v>66</v>
      </c>
      <c r="C105" s="28"/>
      <c r="D105" s="28"/>
      <c r="E105" s="28"/>
      <c r="F105" s="28"/>
    </row>
    <row r="106" spans="2:6" ht="15.75" thickBot="1">
      <c r="B106" s="28"/>
      <c r="C106" s="28"/>
      <c r="D106" s="28"/>
      <c r="E106" s="28"/>
      <c r="F106" s="28"/>
    </row>
    <row r="107" spans="2:6" ht="16.5" thickTop="1" thickBot="1">
      <c r="B107" s="28" t="s">
        <v>67</v>
      </c>
      <c r="C107" s="28"/>
      <c r="D107" s="28"/>
      <c r="E107" s="35" t="s">
        <v>11</v>
      </c>
      <c r="F107" s="26">
        <v>250</v>
      </c>
    </row>
    <row r="108" spans="2:6" ht="16.5" thickTop="1" thickBot="1">
      <c r="B108" s="28" t="s">
        <v>68</v>
      </c>
      <c r="C108" s="28"/>
      <c r="D108" s="28"/>
      <c r="E108" s="35" t="s">
        <v>15</v>
      </c>
      <c r="F108" s="26">
        <v>50</v>
      </c>
    </row>
    <row r="109" spans="2:6" ht="16.5" thickTop="1" thickBot="1">
      <c r="B109" s="28" t="s">
        <v>69</v>
      </c>
      <c r="C109" s="28"/>
      <c r="D109" s="28"/>
      <c r="E109" s="35" t="s">
        <v>16</v>
      </c>
      <c r="F109" s="27">
        <v>121</v>
      </c>
    </row>
    <row r="110" spans="2:6" ht="16.5" thickTop="1" thickBot="1">
      <c r="B110" s="28" t="s">
        <v>70</v>
      </c>
      <c r="C110" s="28"/>
      <c r="D110" s="28"/>
      <c r="E110" s="35" t="s">
        <v>17</v>
      </c>
      <c r="F110" s="27">
        <v>11.09</v>
      </c>
    </row>
    <row r="111" spans="2:6" ht="15.75" thickTop="1"/>
    <row r="113" spans="2:6">
      <c r="B113" s="34" t="s">
        <v>64</v>
      </c>
      <c r="C113" s="29"/>
      <c r="D113" s="200"/>
      <c r="E113" s="28"/>
      <c r="F113" s="28"/>
    </row>
    <row r="114" spans="2:6" ht="15.75" thickBot="1">
      <c r="B114" s="31"/>
      <c r="C114" s="31"/>
      <c r="D114" s="28"/>
      <c r="E114" s="28"/>
      <c r="F114" s="28"/>
    </row>
    <row r="115" spans="2:6" ht="16.5" thickTop="1" thickBot="1">
      <c r="B115" s="28" t="s">
        <v>45</v>
      </c>
      <c r="C115" s="28"/>
      <c r="D115" s="28"/>
      <c r="E115" s="32" t="s">
        <v>9</v>
      </c>
      <c r="F115" s="22">
        <v>4</v>
      </c>
    </row>
    <row r="116" spans="2:6" ht="16.5" thickTop="1" thickBot="1">
      <c r="B116" s="28" t="s">
        <v>46</v>
      </c>
      <c r="C116" s="28"/>
      <c r="D116" s="28"/>
      <c r="E116" s="32" t="s">
        <v>10</v>
      </c>
      <c r="F116" s="22">
        <v>0.6</v>
      </c>
    </row>
    <row r="117" spans="2:6" ht="16.5" thickTop="1" thickBot="1">
      <c r="B117" s="28" t="s">
        <v>47</v>
      </c>
      <c r="C117" s="28"/>
      <c r="D117" s="28"/>
      <c r="E117" s="32" t="s">
        <v>40</v>
      </c>
      <c r="F117" s="22">
        <v>2.9</v>
      </c>
    </row>
    <row r="118" spans="2:6" ht="15.75" thickTop="1">
      <c r="B118" s="28"/>
      <c r="C118" s="28"/>
      <c r="D118" s="28"/>
      <c r="E118" s="32"/>
      <c r="F118" s="206"/>
    </row>
    <row r="119" spans="2:6">
      <c r="B119" s="34" t="s">
        <v>65</v>
      </c>
      <c r="C119" s="28"/>
      <c r="D119" s="28"/>
      <c r="E119" s="32"/>
      <c r="F119" s="33"/>
    </row>
  </sheetData>
  <customSheetViews>
    <customSheetView guid="{2499ACAE-A2C7-4F7F-900A-65021AFAF04C}" scale="80" state="hidden" topLeftCell="A82">
      <selection activeCell="B113" sqref="B113:F119"/>
      <pageMargins left="0.7" right="0.7" top="0.75" bottom="0.75" header="0.3" footer="0.3"/>
    </customSheetView>
  </customSheetViews>
  <mergeCells count="16">
    <mergeCell ref="B88:G88"/>
    <mergeCell ref="B89:G89"/>
    <mergeCell ref="B90:G90"/>
    <mergeCell ref="B91:G91"/>
    <mergeCell ref="L82:L83"/>
    <mergeCell ref="M82:M83"/>
    <mergeCell ref="N82:N83"/>
    <mergeCell ref="B85:G85"/>
    <mergeCell ref="B86:G86"/>
    <mergeCell ref="B87:G87"/>
    <mergeCell ref="K82:K83"/>
    <mergeCell ref="B1:I1"/>
    <mergeCell ref="B82:G84"/>
    <mergeCell ref="H82:H83"/>
    <mergeCell ref="I82:I83"/>
    <mergeCell ref="J82:J8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showGridLines="0" workbookViewId="0">
      <selection activeCell="I4" sqref="I4"/>
    </sheetView>
  </sheetViews>
  <sheetFormatPr defaultColWidth="9.140625" defaultRowHeight="15"/>
  <cols>
    <col min="1" max="1" width="3.42578125" style="3" customWidth="1"/>
    <col min="2" max="9" width="9.140625" style="3"/>
    <col min="10" max="10" width="15.7109375" style="3" customWidth="1"/>
    <col min="11" max="13" width="9.140625" style="3"/>
    <col min="14" max="14" width="11.140625" style="3" customWidth="1"/>
    <col min="15" max="15" width="13.5703125" style="3" bestFit="1" customWidth="1"/>
    <col min="16" max="16" width="9.140625" style="3"/>
    <col min="17" max="17" width="14.7109375" style="3" customWidth="1"/>
    <col min="18" max="16384" width="9.140625" style="3"/>
  </cols>
  <sheetData>
    <row r="1" spans="1:17">
      <c r="A1" s="11"/>
      <c r="B1" s="11"/>
      <c r="C1" s="11"/>
      <c r="D1" s="11"/>
      <c r="E1" s="11"/>
      <c r="F1" s="11"/>
      <c r="G1" s="11"/>
      <c r="H1" s="11"/>
      <c r="I1" s="11"/>
      <c r="J1" s="11"/>
      <c r="K1" s="11"/>
      <c r="L1" s="11"/>
      <c r="M1" s="11"/>
      <c r="N1" s="11"/>
      <c r="O1" s="11"/>
      <c r="P1" s="11"/>
      <c r="Q1" s="11"/>
    </row>
    <row r="2" spans="1:17">
      <c r="A2" s="11"/>
      <c r="B2" s="288" t="s">
        <v>128</v>
      </c>
      <c r="C2" s="288"/>
      <c r="D2" s="288"/>
      <c r="E2" s="288"/>
      <c r="F2" s="288"/>
      <c r="G2" s="288"/>
      <c r="H2" s="288"/>
      <c r="I2" s="288"/>
      <c r="J2" s="288"/>
      <c r="K2" s="288"/>
      <c r="L2" s="288"/>
      <c r="M2" s="288"/>
      <c r="N2" s="288"/>
      <c r="O2" s="288"/>
      <c r="P2" s="11"/>
      <c r="Q2" s="11"/>
    </row>
    <row r="3" spans="1:17" ht="15.75" thickBot="1">
      <c r="A3" s="11"/>
      <c r="B3" s="11"/>
      <c r="C3" s="11"/>
      <c r="D3" s="11"/>
      <c r="E3" s="11"/>
      <c r="F3" s="11"/>
      <c r="G3" s="11"/>
      <c r="H3" s="11"/>
      <c r="I3" s="11"/>
      <c r="J3" s="11"/>
      <c r="K3" s="11"/>
      <c r="L3" s="11"/>
      <c r="M3" s="11"/>
      <c r="N3" s="11"/>
      <c r="O3" s="11"/>
      <c r="P3" s="11"/>
      <c r="Q3" s="11"/>
    </row>
    <row r="4" spans="1:17" ht="20.25" thickTop="1" thickBot="1">
      <c r="A4" s="11"/>
      <c r="B4" s="11" t="s">
        <v>126</v>
      </c>
      <c r="C4" s="11"/>
      <c r="D4" s="11"/>
      <c r="E4" s="11"/>
      <c r="F4" s="11"/>
      <c r="G4" s="11"/>
      <c r="H4" s="53" t="s">
        <v>120</v>
      </c>
      <c r="I4" s="72">
        <v>-1.8E-3</v>
      </c>
      <c r="J4" s="54" t="s">
        <v>118</v>
      </c>
      <c r="K4" s="11"/>
      <c r="L4" s="11"/>
      <c r="M4" s="11"/>
      <c r="N4" s="11"/>
      <c r="O4" s="11"/>
      <c r="P4" s="11"/>
      <c r="Q4" s="11"/>
    </row>
    <row r="5" spans="1:17" ht="20.25" thickTop="1" thickBot="1">
      <c r="A5" s="11"/>
      <c r="B5" s="11" t="s">
        <v>127</v>
      </c>
      <c r="C5" s="11"/>
      <c r="D5" s="11"/>
      <c r="E5" s="11"/>
      <c r="F5" s="11"/>
      <c r="G5" s="11"/>
      <c r="H5" s="53" t="s">
        <v>119</v>
      </c>
      <c r="I5" s="72">
        <v>-3.0000000000000001E-3</v>
      </c>
      <c r="J5" s="54" t="s">
        <v>118</v>
      </c>
      <c r="K5" s="11"/>
      <c r="L5" s="11"/>
      <c r="M5" s="11"/>
      <c r="N5" s="11"/>
      <c r="O5" s="11"/>
      <c r="P5" s="11"/>
      <c r="Q5" s="11"/>
    </row>
    <row r="6" spans="1:17" ht="19.5" thickTop="1">
      <c r="A6" s="11"/>
      <c r="B6" s="11" t="s">
        <v>97</v>
      </c>
      <c r="C6" s="11"/>
      <c r="D6" s="11"/>
      <c r="E6" s="11"/>
      <c r="F6" s="11"/>
      <c r="G6" s="11"/>
      <c r="H6" s="55" t="s">
        <v>14</v>
      </c>
      <c r="I6" s="56">
        <f>-'Caratteristiche Materiale c617'!J22</f>
        <v>-1251.8518518518517</v>
      </c>
      <c r="J6" s="54" t="s">
        <v>110</v>
      </c>
      <c r="K6" s="11"/>
      <c r="L6" s="11"/>
      <c r="M6" s="11"/>
      <c r="N6" s="11"/>
      <c r="O6" s="11"/>
      <c r="P6" s="11"/>
      <c r="Q6" s="11"/>
    </row>
    <row r="7" spans="1:17">
      <c r="A7" s="11"/>
      <c r="B7" s="11" t="s">
        <v>100</v>
      </c>
      <c r="C7" s="11"/>
      <c r="D7" s="11"/>
      <c r="E7" s="11"/>
      <c r="F7" s="11"/>
      <c r="G7" s="11"/>
      <c r="H7" s="57" t="s">
        <v>62</v>
      </c>
      <c r="I7" s="54">
        <f>'Caratteristiche Materiale c617'!J25*1000</f>
        <v>1305000</v>
      </c>
      <c r="J7" s="54" t="s">
        <v>110</v>
      </c>
      <c r="K7" s="11"/>
      <c r="L7" s="11"/>
      <c r="M7" s="11"/>
      <c r="N7" s="11"/>
      <c r="O7" s="11"/>
      <c r="P7" s="11"/>
      <c r="Q7" s="11"/>
    </row>
    <row r="8" spans="1:17">
      <c r="A8" s="11"/>
      <c r="B8" s="11"/>
      <c r="C8" s="11"/>
      <c r="D8" s="11"/>
      <c r="E8" s="11"/>
      <c r="F8" s="11"/>
      <c r="G8" s="11"/>
      <c r="H8" s="11"/>
      <c r="I8" s="11"/>
      <c r="J8" s="11"/>
      <c r="K8" s="11"/>
      <c r="L8" s="11"/>
      <c r="M8" s="11"/>
      <c r="N8" s="11"/>
      <c r="O8" s="11"/>
      <c r="P8" s="11"/>
      <c r="Q8" s="11"/>
    </row>
    <row r="9" spans="1:17">
      <c r="A9" s="11"/>
      <c r="B9" s="58"/>
      <c r="C9" s="306" t="s">
        <v>125</v>
      </c>
      <c r="D9" s="307"/>
      <c r="E9" s="306" t="s">
        <v>124</v>
      </c>
      <c r="F9" s="307"/>
      <c r="G9" s="306" t="s">
        <v>131</v>
      </c>
      <c r="H9" s="307"/>
      <c r="I9" s="11"/>
      <c r="J9" s="11"/>
      <c r="K9" s="11"/>
      <c r="L9" s="11"/>
      <c r="M9" s="11"/>
      <c r="N9" s="11"/>
      <c r="O9" s="11"/>
      <c r="P9" s="11"/>
      <c r="Q9" s="11"/>
    </row>
    <row r="10" spans="1:17" ht="21">
      <c r="A10" s="11"/>
      <c r="B10" s="59"/>
      <c r="C10" s="60" t="s">
        <v>122</v>
      </c>
      <c r="D10" s="61" t="s">
        <v>121</v>
      </c>
      <c r="E10" s="60" t="s">
        <v>122</v>
      </c>
      <c r="F10" s="61" t="s">
        <v>121</v>
      </c>
      <c r="G10" s="60" t="s">
        <v>122</v>
      </c>
      <c r="H10" s="61" t="s">
        <v>121</v>
      </c>
      <c r="I10" s="11"/>
      <c r="J10" s="11"/>
      <c r="K10" s="11"/>
      <c r="L10" s="11"/>
      <c r="M10" s="11"/>
      <c r="N10" s="11"/>
      <c r="O10" s="11"/>
      <c r="P10" s="11"/>
      <c r="Q10" s="11"/>
    </row>
    <row r="11" spans="1:17">
      <c r="A11" s="11"/>
      <c r="B11" s="62">
        <v>0</v>
      </c>
      <c r="C11" s="62">
        <v>0</v>
      </c>
      <c r="D11" s="63">
        <v>0</v>
      </c>
      <c r="E11" s="64">
        <f t="shared" ref="E11:E19" si="0">$I$4/8*B11</f>
        <v>0</v>
      </c>
      <c r="F11" s="62">
        <f t="shared" ref="F11:F19" si="1">2*$I$6*(E11/$I$4)-$I$6*(E11/$I$4)^2</f>
        <v>0</v>
      </c>
      <c r="G11" s="65">
        <f>I4</f>
        <v>-1.8E-3</v>
      </c>
      <c r="H11" s="63">
        <f t="shared" ref="H11:H19" si="2">2*$I$6*(G11/$I$4)-$I$6*(G11/$I$4)^2</f>
        <v>-1251.8518518518517</v>
      </c>
      <c r="I11" s="11"/>
      <c r="J11" s="11"/>
      <c r="K11" s="11"/>
      <c r="L11" s="11"/>
      <c r="M11" s="11"/>
      <c r="N11" s="11"/>
      <c r="O11" s="11"/>
      <c r="P11" s="11"/>
      <c r="Q11" s="11"/>
    </row>
    <row r="12" spans="1:17">
      <c r="A12" s="11"/>
      <c r="B12" s="62">
        <f t="shared" ref="B12:B19" si="3">B11+1</f>
        <v>1</v>
      </c>
      <c r="C12" s="62">
        <v>1.4999999999999999E-4</v>
      </c>
      <c r="D12" s="63">
        <f>I7*C12</f>
        <v>195.74999999999997</v>
      </c>
      <c r="E12" s="64">
        <f t="shared" si="0"/>
        <v>-2.2499999999999999E-4</v>
      </c>
      <c r="F12" s="63">
        <f t="shared" si="1"/>
        <v>-293.40277777777777</v>
      </c>
      <c r="G12" s="65">
        <f t="shared" ref="G12:G18" si="4">G11+($G$19-$G$11)/8</f>
        <v>-1.9499999999999999E-3</v>
      </c>
      <c r="H12" s="63">
        <f t="shared" si="2"/>
        <v>-1243.1584362139915</v>
      </c>
      <c r="I12" s="11"/>
      <c r="J12" s="11"/>
      <c r="K12" s="11"/>
      <c r="L12" s="11"/>
      <c r="M12" s="11"/>
      <c r="N12" s="11"/>
      <c r="O12" s="11"/>
      <c r="P12" s="11"/>
      <c r="Q12" s="11"/>
    </row>
    <row r="13" spans="1:17">
      <c r="A13" s="11"/>
      <c r="B13" s="62">
        <f t="shared" si="3"/>
        <v>2</v>
      </c>
      <c r="C13" s="62">
        <v>1.5E-3</v>
      </c>
      <c r="D13" s="63">
        <v>0</v>
      </c>
      <c r="E13" s="64">
        <f t="shared" si="0"/>
        <v>-4.4999999999999999E-4</v>
      </c>
      <c r="F13" s="63">
        <f t="shared" si="1"/>
        <v>-547.68518518518511</v>
      </c>
      <c r="G13" s="65">
        <f t="shared" si="4"/>
        <v>-2.0999999999999999E-3</v>
      </c>
      <c r="H13" s="63">
        <f t="shared" si="2"/>
        <v>-1217.0781893004116</v>
      </c>
      <c r="I13" s="11"/>
      <c r="J13" s="11"/>
      <c r="K13" s="11"/>
      <c r="L13" s="11"/>
      <c r="M13" s="11"/>
      <c r="N13" s="11"/>
      <c r="O13" s="11"/>
      <c r="P13" s="11"/>
      <c r="Q13" s="11"/>
    </row>
    <row r="14" spans="1:17">
      <c r="A14" s="11"/>
      <c r="B14" s="62">
        <f t="shared" si="3"/>
        <v>3</v>
      </c>
      <c r="C14" s="62"/>
      <c r="D14" s="63"/>
      <c r="E14" s="64">
        <f t="shared" si="0"/>
        <v>-6.7500000000000004E-4</v>
      </c>
      <c r="F14" s="63">
        <f t="shared" si="1"/>
        <v>-762.84722222222217</v>
      </c>
      <c r="G14" s="65">
        <f t="shared" si="4"/>
        <v>-2.2499999999999998E-3</v>
      </c>
      <c r="H14" s="63">
        <f t="shared" si="2"/>
        <v>-1173.6111111111113</v>
      </c>
      <c r="I14" s="11"/>
      <c r="J14" s="11"/>
      <c r="K14" s="11"/>
      <c r="L14" s="11"/>
      <c r="M14" s="11"/>
      <c r="N14" s="11"/>
      <c r="O14" s="11"/>
      <c r="P14" s="11"/>
      <c r="Q14" s="11"/>
    </row>
    <row r="15" spans="1:17">
      <c r="A15" s="11"/>
      <c r="B15" s="62">
        <f t="shared" si="3"/>
        <v>4</v>
      </c>
      <c r="C15" s="62"/>
      <c r="D15" s="63"/>
      <c r="E15" s="64">
        <f t="shared" si="0"/>
        <v>-8.9999999999999998E-4</v>
      </c>
      <c r="F15" s="63">
        <f t="shared" si="1"/>
        <v>-938.8888888888888</v>
      </c>
      <c r="G15" s="65">
        <f t="shared" si="4"/>
        <v>-2.3999999999999998E-3</v>
      </c>
      <c r="H15" s="63">
        <f t="shared" si="2"/>
        <v>-1112.7572016460904</v>
      </c>
      <c r="I15" s="11"/>
      <c r="J15" s="11"/>
      <c r="K15" s="11"/>
      <c r="L15" s="11"/>
      <c r="M15" s="11"/>
      <c r="N15" s="11"/>
      <c r="O15" s="11"/>
      <c r="P15" s="11"/>
      <c r="Q15" s="11"/>
    </row>
    <row r="16" spans="1:17">
      <c r="A16" s="11"/>
      <c r="B16" s="62">
        <f t="shared" si="3"/>
        <v>5</v>
      </c>
      <c r="C16" s="62"/>
      <c r="D16" s="63"/>
      <c r="E16" s="64">
        <f t="shared" si="0"/>
        <v>-1.1249999999999999E-3</v>
      </c>
      <c r="F16" s="63">
        <f t="shared" si="1"/>
        <v>-1075.8101851851852</v>
      </c>
      <c r="G16" s="65">
        <f t="shared" si="4"/>
        <v>-2.5499999999999997E-3</v>
      </c>
      <c r="H16" s="63">
        <f t="shared" si="2"/>
        <v>-1034.5164609053495</v>
      </c>
      <c r="I16" s="11"/>
      <c r="J16" s="11"/>
      <c r="K16" s="11"/>
      <c r="L16" s="11"/>
      <c r="M16" s="11"/>
      <c r="N16" s="11"/>
      <c r="O16" s="11"/>
      <c r="P16" s="11"/>
      <c r="Q16" s="11"/>
    </row>
    <row r="17" spans="1:21">
      <c r="A17" s="11"/>
      <c r="B17" s="62">
        <f t="shared" si="3"/>
        <v>6</v>
      </c>
      <c r="C17" s="62"/>
      <c r="D17" s="63"/>
      <c r="E17" s="64">
        <f t="shared" si="0"/>
        <v>-1.3500000000000001E-3</v>
      </c>
      <c r="F17" s="63">
        <f t="shared" si="1"/>
        <v>-1173.6111111111109</v>
      </c>
      <c r="G17" s="65">
        <f t="shared" si="4"/>
        <v>-2.6999999999999997E-3</v>
      </c>
      <c r="H17" s="63">
        <f t="shared" si="2"/>
        <v>-938.8888888888896</v>
      </c>
      <c r="I17" s="11"/>
      <c r="J17" s="11"/>
      <c r="K17" s="11"/>
      <c r="L17" s="11"/>
      <c r="M17" s="11"/>
      <c r="N17" s="11"/>
      <c r="O17" s="11"/>
      <c r="P17" s="11"/>
      <c r="Q17" s="11"/>
    </row>
    <row r="18" spans="1:21">
      <c r="A18" s="11"/>
      <c r="B18" s="62">
        <f t="shared" si="3"/>
        <v>7</v>
      </c>
      <c r="C18" s="62"/>
      <c r="D18" s="62"/>
      <c r="E18" s="64">
        <f t="shared" si="0"/>
        <v>-1.575E-3</v>
      </c>
      <c r="F18" s="63">
        <f t="shared" si="1"/>
        <v>-1232.2916666666665</v>
      </c>
      <c r="G18" s="65">
        <f t="shared" si="4"/>
        <v>-2.8499999999999997E-3</v>
      </c>
      <c r="H18" s="63">
        <f t="shared" si="2"/>
        <v>-825.87448559670747</v>
      </c>
      <c r="I18" s="11"/>
      <c r="J18" s="11"/>
      <c r="K18" s="11"/>
      <c r="L18" s="11"/>
      <c r="M18" s="11"/>
      <c r="N18" s="11"/>
      <c r="O18" s="11"/>
      <c r="P18" s="11"/>
      <c r="Q18" s="11"/>
    </row>
    <row r="19" spans="1:21">
      <c r="A19" s="11"/>
      <c r="B19" s="62">
        <f t="shared" si="3"/>
        <v>8</v>
      </c>
      <c r="C19" s="62"/>
      <c r="D19" s="62"/>
      <c r="E19" s="64">
        <f t="shared" si="0"/>
        <v>-1.8E-3</v>
      </c>
      <c r="F19" s="63">
        <f t="shared" si="1"/>
        <v>-1251.8518518518517</v>
      </c>
      <c r="G19" s="65">
        <f>I5</f>
        <v>-3.0000000000000001E-3</v>
      </c>
      <c r="H19" s="63">
        <f t="shared" si="2"/>
        <v>-695.47325102880677</v>
      </c>
      <c r="I19" s="11"/>
      <c r="J19" s="11"/>
      <c r="K19" s="11"/>
      <c r="L19" s="11"/>
      <c r="M19" s="11"/>
      <c r="N19" s="11"/>
      <c r="O19" s="11"/>
      <c r="P19" s="11"/>
      <c r="Q19" s="11"/>
    </row>
    <row r="20" spans="1:21">
      <c r="A20" s="11"/>
      <c r="B20" s="11"/>
      <c r="C20" s="11"/>
      <c r="D20" s="11"/>
      <c r="E20" s="11"/>
      <c r="F20" s="11"/>
      <c r="G20" s="11"/>
      <c r="H20" s="11"/>
      <c r="I20" s="11"/>
      <c r="J20" s="11"/>
      <c r="K20" s="11"/>
      <c r="L20" s="11"/>
      <c r="M20" s="11"/>
      <c r="N20" s="11"/>
      <c r="O20" s="11"/>
      <c r="P20" s="11"/>
      <c r="Q20" s="66"/>
      <c r="R20" s="42"/>
    </row>
    <row r="21" spans="1:21">
      <c r="A21" s="11"/>
      <c r="B21" s="11"/>
      <c r="C21" s="11"/>
      <c r="D21" s="11"/>
      <c r="E21" s="11"/>
      <c r="F21" s="11"/>
      <c r="G21" s="11"/>
      <c r="H21" s="11"/>
      <c r="I21" s="11"/>
      <c r="J21" s="11"/>
      <c r="K21" s="11"/>
      <c r="L21" s="11"/>
      <c r="M21" s="11"/>
      <c r="N21" s="11"/>
      <c r="O21" s="11"/>
      <c r="P21" s="11"/>
      <c r="Q21" s="66"/>
      <c r="R21" s="42"/>
    </row>
    <row r="22" spans="1:21">
      <c r="A22" s="11"/>
      <c r="B22" s="11" t="s">
        <v>129</v>
      </c>
      <c r="C22" s="11"/>
      <c r="D22" s="11"/>
      <c r="E22" s="11"/>
      <c r="F22" s="11"/>
      <c r="G22" s="11"/>
      <c r="H22" s="67" t="s">
        <v>117</v>
      </c>
      <c r="I22" s="68">
        <f>(F12/E12)*10^-3</f>
        <v>1304.0123456790125</v>
      </c>
      <c r="J22" s="67" t="s">
        <v>113</v>
      </c>
      <c r="K22" s="11"/>
      <c r="L22" s="11"/>
      <c r="M22" s="11"/>
      <c r="N22" s="11"/>
      <c r="O22" s="11"/>
      <c r="P22" s="11"/>
      <c r="Q22" s="66"/>
      <c r="R22" s="42"/>
    </row>
    <row r="23" spans="1:21">
      <c r="A23" s="11"/>
      <c r="B23" s="11"/>
      <c r="C23" s="11"/>
      <c r="D23" s="11"/>
      <c r="E23" s="11"/>
      <c r="F23" s="11"/>
      <c r="G23" s="11"/>
      <c r="H23" s="11"/>
      <c r="I23" s="11"/>
      <c r="J23" s="11"/>
      <c r="K23" s="11"/>
      <c r="L23" s="11"/>
      <c r="M23" s="11"/>
      <c r="N23" s="11"/>
      <c r="O23" s="11"/>
      <c r="P23" s="11"/>
      <c r="Q23" s="66"/>
      <c r="R23" s="42"/>
    </row>
    <row r="24" spans="1:21">
      <c r="A24" s="11"/>
      <c r="B24" s="11" t="s">
        <v>130</v>
      </c>
      <c r="C24" s="11"/>
      <c r="D24" s="11"/>
      <c r="E24" s="11"/>
      <c r="F24" s="11"/>
      <c r="G24" s="11"/>
      <c r="H24" s="11"/>
      <c r="I24" s="11"/>
      <c r="J24" s="11"/>
      <c r="K24" s="11"/>
      <c r="L24" s="11"/>
      <c r="M24" s="11"/>
      <c r="N24" s="11"/>
      <c r="O24" s="11"/>
      <c r="P24" s="11"/>
      <c r="Q24" s="66"/>
      <c r="R24" s="42"/>
    </row>
    <row r="25" spans="1:21">
      <c r="A25" s="11"/>
      <c r="B25" s="11"/>
      <c r="C25" s="11"/>
      <c r="D25" s="11"/>
      <c r="E25" s="11"/>
      <c r="F25" s="11"/>
      <c r="G25" s="253" t="s">
        <v>116</v>
      </c>
      <c r="H25" s="253"/>
      <c r="I25" s="68">
        <f>-0.4*(-I6)/(I4-I4*(0.6)^0.5)*10^-3</f>
        <v>1234.1845148222662</v>
      </c>
      <c r="J25" s="67" t="s">
        <v>113</v>
      </c>
      <c r="K25" s="11"/>
      <c r="L25" s="11"/>
      <c r="M25" s="11"/>
      <c r="N25" s="11"/>
      <c r="O25" s="11"/>
      <c r="P25" s="11"/>
      <c r="Q25" s="66"/>
      <c r="R25" s="42"/>
    </row>
    <row r="26" spans="1:21">
      <c r="A26" s="11"/>
      <c r="B26" s="11"/>
      <c r="C26" s="11"/>
      <c r="D26" s="11"/>
      <c r="E26" s="11"/>
      <c r="F26" s="11"/>
      <c r="G26" s="253" t="s">
        <v>115</v>
      </c>
      <c r="H26" s="253"/>
      <c r="I26" s="68">
        <f>-0.2*(-I6)/(I4-I4*(0.8)^0.5)*10^-3</f>
        <v>1317.5234373620804</v>
      </c>
      <c r="J26" s="67" t="s">
        <v>113</v>
      </c>
      <c r="K26" s="11"/>
      <c r="L26" s="11"/>
      <c r="M26" s="11"/>
      <c r="N26" s="11"/>
      <c r="O26" s="11"/>
      <c r="P26" s="11"/>
      <c r="Q26" s="66"/>
      <c r="R26" s="42"/>
    </row>
    <row r="27" spans="1:21">
      <c r="A27" s="11"/>
      <c r="B27" s="11"/>
      <c r="C27" s="11"/>
      <c r="D27" s="11"/>
      <c r="E27" s="11"/>
      <c r="F27" s="11"/>
      <c r="G27" s="305" t="s">
        <v>114</v>
      </c>
      <c r="H27" s="305"/>
      <c r="I27" s="68">
        <f>(-0.4*(-I6)-(-0.2*(-I6)))/((I4-I4*(0.6)^0.5)-(I4-I4*(0.8)^0.5))*10^-3</f>
        <v>1160.7614501267353</v>
      </c>
      <c r="J27" s="67" t="s">
        <v>113</v>
      </c>
      <c r="K27" s="11"/>
      <c r="L27" s="11"/>
      <c r="M27" s="11"/>
      <c r="N27" s="11"/>
      <c r="O27" s="11"/>
      <c r="P27" s="11"/>
      <c r="Q27" s="66"/>
      <c r="R27" s="42"/>
    </row>
    <row r="28" spans="1:21">
      <c r="A28" s="11"/>
      <c r="B28" s="11"/>
      <c r="C28" s="11"/>
      <c r="D28" s="11"/>
      <c r="E28" s="11"/>
      <c r="F28" s="11"/>
      <c r="G28" s="11"/>
      <c r="H28" s="11"/>
      <c r="I28" s="11"/>
      <c r="J28" s="11"/>
      <c r="K28" s="11"/>
      <c r="L28" s="11"/>
      <c r="M28" s="11"/>
      <c r="N28" s="11"/>
      <c r="O28" s="11"/>
      <c r="P28" s="11"/>
      <c r="Q28" s="66"/>
      <c r="R28" s="42"/>
    </row>
    <row r="29" spans="1:21">
      <c r="A29" s="11"/>
      <c r="B29" s="11"/>
      <c r="C29" s="11"/>
      <c r="D29" s="11"/>
      <c r="E29" s="11"/>
      <c r="F29" s="11"/>
      <c r="G29" s="11"/>
      <c r="H29" s="66"/>
      <c r="I29" s="69"/>
      <c r="J29" s="11"/>
      <c r="K29" s="11"/>
      <c r="L29" s="11"/>
      <c r="M29" s="11"/>
      <c r="N29" s="11"/>
      <c r="O29" s="11"/>
      <c r="P29" s="11"/>
      <c r="Q29" s="66"/>
      <c r="R29" s="42"/>
      <c r="T29" s="43"/>
      <c r="U29" s="1"/>
    </row>
    <row r="30" spans="1:21">
      <c r="A30" s="11"/>
      <c r="B30" s="11"/>
      <c r="C30" s="11"/>
      <c r="D30" s="11"/>
      <c r="E30" s="11"/>
      <c r="F30" s="11"/>
      <c r="G30" s="11"/>
      <c r="H30" s="66"/>
      <c r="I30" s="69"/>
      <c r="J30" s="11"/>
      <c r="K30" s="11"/>
      <c r="L30" s="11"/>
      <c r="M30" s="11"/>
      <c r="N30" s="253" t="s">
        <v>123</v>
      </c>
      <c r="O30" s="253"/>
      <c r="P30" s="11"/>
      <c r="Q30" s="66"/>
      <c r="R30" s="42"/>
      <c r="T30" s="43"/>
      <c r="U30" s="45"/>
    </row>
    <row r="31" spans="1:21">
      <c r="A31" s="11"/>
      <c r="B31" s="11"/>
      <c r="C31" s="11"/>
      <c r="D31" s="11"/>
      <c r="E31" s="11"/>
      <c r="F31" s="11"/>
      <c r="G31" s="11"/>
      <c r="H31" s="66"/>
      <c r="I31" s="69"/>
      <c r="J31" s="11"/>
      <c r="K31" s="11"/>
      <c r="L31" s="11"/>
      <c r="M31" s="11"/>
      <c r="N31" s="65">
        <f>G19</f>
        <v>-3.0000000000000001E-3</v>
      </c>
      <c r="O31" s="70">
        <f>H19</f>
        <v>-695.47325102880677</v>
      </c>
      <c r="P31" s="11"/>
      <c r="Q31" s="66"/>
      <c r="R31" s="42"/>
      <c r="T31" s="43"/>
      <c r="U31" s="1"/>
    </row>
    <row r="32" spans="1:21">
      <c r="A32" s="11"/>
      <c r="B32" s="11"/>
      <c r="C32" s="11"/>
      <c r="D32" s="11"/>
      <c r="E32" s="11"/>
      <c r="F32" s="11"/>
      <c r="G32" s="11"/>
      <c r="H32" s="66"/>
      <c r="I32" s="69"/>
      <c r="J32" s="11"/>
      <c r="K32" s="11"/>
      <c r="L32" s="11"/>
      <c r="M32" s="11"/>
      <c r="N32" s="65">
        <f>G18</f>
        <v>-2.8499999999999997E-3</v>
      </c>
      <c r="O32" s="70">
        <f>H18</f>
        <v>-825.87448559670747</v>
      </c>
      <c r="P32" s="11"/>
      <c r="Q32" s="66"/>
      <c r="R32" s="42"/>
      <c r="T32" s="1"/>
      <c r="U32" s="1"/>
    </row>
    <row r="33" spans="1:21">
      <c r="A33" s="11"/>
      <c r="B33" s="11"/>
      <c r="C33" s="11"/>
      <c r="D33" s="11"/>
      <c r="E33" s="11"/>
      <c r="F33" s="11"/>
      <c r="G33" s="11"/>
      <c r="H33" s="66"/>
      <c r="I33" s="69"/>
      <c r="J33" s="11"/>
      <c r="K33" s="11"/>
      <c r="L33" s="11"/>
      <c r="M33" s="11"/>
      <c r="N33" s="65">
        <f>G17</f>
        <v>-2.6999999999999997E-3</v>
      </c>
      <c r="O33" s="70">
        <f>H17</f>
        <v>-938.8888888888896</v>
      </c>
      <c r="P33" s="11"/>
      <c r="Q33" s="66"/>
      <c r="R33" s="42"/>
      <c r="T33" s="43"/>
      <c r="U33" s="42"/>
    </row>
    <row r="34" spans="1:21">
      <c r="A34" s="11"/>
      <c r="B34" s="11"/>
      <c r="C34" s="11"/>
      <c r="D34" s="11"/>
      <c r="E34" s="11"/>
      <c r="F34" s="11"/>
      <c r="G34" s="11"/>
      <c r="H34" s="66"/>
      <c r="I34" s="69"/>
      <c r="J34" s="11"/>
      <c r="K34" s="11"/>
      <c r="L34" s="11"/>
      <c r="M34" s="11"/>
      <c r="N34" s="65">
        <f>G16</f>
        <v>-2.5499999999999997E-3</v>
      </c>
      <c r="O34" s="70">
        <f>H16</f>
        <v>-1034.5164609053495</v>
      </c>
      <c r="P34" s="11"/>
      <c r="Q34" s="66"/>
      <c r="R34" s="42"/>
      <c r="T34" s="43"/>
      <c r="U34" s="42"/>
    </row>
    <row r="35" spans="1:21">
      <c r="A35" s="11"/>
      <c r="B35" s="11"/>
      <c r="C35" s="11"/>
      <c r="D35" s="11"/>
      <c r="E35" s="11"/>
      <c r="F35" s="11"/>
      <c r="G35" s="11"/>
      <c r="H35" s="66"/>
      <c r="I35" s="69"/>
      <c r="J35" s="11"/>
      <c r="K35" s="11"/>
      <c r="L35" s="11"/>
      <c r="M35" s="11"/>
      <c r="N35" s="65">
        <f>G15</f>
        <v>-2.3999999999999998E-3</v>
      </c>
      <c r="O35" s="70">
        <f>H15</f>
        <v>-1112.7572016460904</v>
      </c>
      <c r="P35" s="11"/>
      <c r="Q35" s="66"/>
      <c r="R35" s="42"/>
      <c r="T35" s="43"/>
      <c r="U35" s="42"/>
    </row>
    <row r="36" spans="1:21">
      <c r="A36" s="11"/>
      <c r="B36" s="11"/>
      <c r="C36" s="11"/>
      <c r="D36" s="11"/>
      <c r="E36" s="11"/>
      <c r="F36" s="11"/>
      <c r="G36" s="11"/>
      <c r="H36" s="66"/>
      <c r="I36" s="69"/>
      <c r="J36" s="11"/>
      <c r="K36" s="11"/>
      <c r="L36" s="11"/>
      <c r="M36" s="11"/>
      <c r="N36" s="65">
        <f>G14</f>
        <v>-2.2499999999999998E-3</v>
      </c>
      <c r="O36" s="70">
        <f>H14</f>
        <v>-1173.6111111111113</v>
      </c>
      <c r="P36" s="11"/>
      <c r="Q36" s="66"/>
      <c r="R36" s="1"/>
      <c r="T36" s="43"/>
      <c r="U36" s="1"/>
    </row>
    <row r="37" spans="1:21">
      <c r="A37" s="11"/>
      <c r="B37" s="11"/>
      <c r="C37" s="11"/>
      <c r="D37" s="11"/>
      <c r="E37" s="11"/>
      <c r="F37" s="11"/>
      <c r="G37" s="11"/>
      <c r="H37" s="66"/>
      <c r="I37" s="69"/>
      <c r="J37" s="11"/>
      <c r="K37" s="11"/>
      <c r="L37" s="11"/>
      <c r="M37" s="11"/>
      <c r="N37" s="65">
        <f>G13</f>
        <v>-2.0999999999999999E-3</v>
      </c>
      <c r="O37" s="70">
        <f>H13</f>
        <v>-1217.0781893004116</v>
      </c>
      <c r="P37" s="11"/>
      <c r="Q37" s="66"/>
      <c r="R37" s="45"/>
      <c r="T37" s="43"/>
      <c r="U37" s="45"/>
    </row>
    <row r="38" spans="1:21">
      <c r="A38" s="11"/>
      <c r="B38" s="11"/>
      <c r="C38" s="11"/>
      <c r="D38" s="11"/>
      <c r="E38" s="11"/>
      <c r="F38" s="11"/>
      <c r="G38" s="11"/>
      <c r="H38" s="66"/>
      <c r="I38" s="69"/>
      <c r="J38" s="11"/>
      <c r="K38" s="11"/>
      <c r="L38" s="11"/>
      <c r="M38" s="11"/>
      <c r="N38" s="65">
        <f>G12</f>
        <v>-1.9499999999999999E-3</v>
      </c>
      <c r="O38" s="70">
        <f>H12</f>
        <v>-1243.1584362139915</v>
      </c>
      <c r="P38" s="11"/>
      <c r="Q38" s="66"/>
      <c r="R38" s="1"/>
      <c r="T38" s="43"/>
      <c r="U38" s="1"/>
    </row>
    <row r="39" spans="1:21">
      <c r="A39" s="11"/>
      <c r="B39" s="11"/>
      <c r="C39" s="11"/>
      <c r="D39" s="11"/>
      <c r="E39" s="11"/>
      <c r="F39" s="11"/>
      <c r="G39" s="11"/>
      <c r="H39" s="66"/>
      <c r="I39" s="69"/>
      <c r="J39" s="11"/>
      <c r="K39" s="11"/>
      <c r="L39" s="11"/>
      <c r="M39" s="11"/>
      <c r="N39" s="65">
        <f>E19</f>
        <v>-1.8E-3</v>
      </c>
      <c r="O39" s="70">
        <f>F19</f>
        <v>-1251.8518518518517</v>
      </c>
      <c r="P39" s="11"/>
      <c r="Q39" s="54"/>
      <c r="R39" s="1"/>
      <c r="T39" s="1"/>
      <c r="U39" s="1"/>
    </row>
    <row r="40" spans="1:21">
      <c r="A40" s="11"/>
      <c r="B40" s="11"/>
      <c r="C40" s="11"/>
      <c r="D40" s="11"/>
      <c r="E40" s="11"/>
      <c r="F40" s="11"/>
      <c r="G40" s="11"/>
      <c r="H40" s="66"/>
      <c r="I40" s="69"/>
      <c r="J40" s="11"/>
      <c r="K40" s="11"/>
      <c r="L40" s="11"/>
      <c r="M40" s="11"/>
      <c r="N40" s="65">
        <f>E18</f>
        <v>-1.575E-3</v>
      </c>
      <c r="O40" s="70">
        <f>F18</f>
        <v>-1232.2916666666665</v>
      </c>
      <c r="P40" s="11"/>
      <c r="Q40" s="11"/>
    </row>
    <row r="41" spans="1:21">
      <c r="A41" s="11"/>
      <c r="B41" s="11"/>
      <c r="C41" s="11"/>
      <c r="D41" s="11"/>
      <c r="E41" s="11"/>
      <c r="F41" s="11"/>
      <c r="G41" s="11"/>
      <c r="H41" s="66"/>
      <c r="I41" s="69"/>
      <c r="J41" s="11"/>
      <c r="K41" s="11"/>
      <c r="L41" s="11"/>
      <c r="M41" s="11"/>
      <c r="N41" s="65">
        <f>E17</f>
        <v>-1.3500000000000001E-3</v>
      </c>
      <c r="O41" s="70">
        <f>F17</f>
        <v>-1173.6111111111109</v>
      </c>
      <c r="P41" s="11"/>
      <c r="Q41" s="11"/>
    </row>
    <row r="42" spans="1:21">
      <c r="A42" s="11"/>
      <c r="B42" s="11"/>
      <c r="C42" s="11"/>
      <c r="D42" s="11"/>
      <c r="E42" s="11"/>
      <c r="F42" s="11"/>
      <c r="G42" s="11"/>
      <c r="H42" s="66"/>
      <c r="I42" s="69"/>
      <c r="J42" s="11"/>
      <c r="K42" s="11"/>
      <c r="L42" s="11"/>
      <c r="M42" s="11"/>
      <c r="N42" s="65">
        <f>E16</f>
        <v>-1.1249999999999999E-3</v>
      </c>
      <c r="O42" s="70">
        <f>F16</f>
        <v>-1075.8101851851852</v>
      </c>
      <c r="P42" s="11"/>
      <c r="Q42" s="11"/>
    </row>
    <row r="43" spans="1:21">
      <c r="A43" s="11"/>
      <c r="B43" s="11"/>
      <c r="C43" s="11"/>
      <c r="D43" s="11"/>
      <c r="E43" s="11"/>
      <c r="F43" s="11"/>
      <c r="G43" s="11"/>
      <c r="H43" s="66"/>
      <c r="I43" s="69"/>
      <c r="J43" s="11"/>
      <c r="K43" s="11"/>
      <c r="L43" s="11"/>
      <c r="M43" s="11"/>
      <c r="N43" s="65">
        <f>E15</f>
        <v>-8.9999999999999998E-4</v>
      </c>
      <c r="O43" s="70">
        <f>F15</f>
        <v>-938.8888888888888</v>
      </c>
      <c r="P43" s="11"/>
      <c r="Q43" s="11"/>
    </row>
    <row r="44" spans="1:21">
      <c r="A44" s="11"/>
      <c r="B44" s="11"/>
      <c r="C44" s="11"/>
      <c r="D44" s="11"/>
      <c r="E44" s="11"/>
      <c r="F44" s="11"/>
      <c r="G44" s="11"/>
      <c r="H44" s="66"/>
      <c r="I44" s="69"/>
      <c r="J44" s="11"/>
      <c r="K44" s="11"/>
      <c r="L44" s="11"/>
      <c r="M44" s="11"/>
      <c r="N44" s="65">
        <f>E14</f>
        <v>-6.7500000000000004E-4</v>
      </c>
      <c r="O44" s="70">
        <f>F14</f>
        <v>-762.84722222222217</v>
      </c>
      <c r="P44" s="11"/>
      <c r="Q44" s="11"/>
    </row>
    <row r="45" spans="1:21">
      <c r="A45" s="11"/>
      <c r="B45" s="11"/>
      <c r="C45" s="11"/>
      <c r="D45" s="11"/>
      <c r="E45" s="11"/>
      <c r="F45" s="11"/>
      <c r="G45" s="11"/>
      <c r="H45" s="66"/>
      <c r="I45" s="69"/>
      <c r="J45" s="11"/>
      <c r="K45" s="11"/>
      <c r="L45" s="11"/>
      <c r="M45" s="11"/>
      <c r="N45" s="65">
        <f>E13</f>
        <v>-4.4999999999999999E-4</v>
      </c>
      <c r="O45" s="70">
        <f>F13</f>
        <v>-547.68518518518511</v>
      </c>
      <c r="P45" s="11"/>
      <c r="Q45" s="11"/>
    </row>
    <row r="46" spans="1:21">
      <c r="A46" s="11"/>
      <c r="B46" s="11"/>
      <c r="C46" s="11"/>
      <c r="D46" s="11"/>
      <c r="E46" s="11"/>
      <c r="F46" s="11"/>
      <c r="G46" s="11"/>
      <c r="H46" s="66"/>
      <c r="I46" s="69"/>
      <c r="J46" s="11"/>
      <c r="K46" s="11"/>
      <c r="L46" s="11"/>
      <c r="M46" s="11"/>
      <c r="N46" s="65">
        <f>E12</f>
        <v>-2.2499999999999999E-4</v>
      </c>
      <c r="O46" s="70">
        <f>F12</f>
        <v>-293.40277777777777</v>
      </c>
      <c r="P46" s="11"/>
      <c r="Q46" s="11"/>
    </row>
    <row r="47" spans="1:21">
      <c r="A47" s="11"/>
      <c r="B47" s="11"/>
      <c r="C47" s="11"/>
      <c r="D47" s="11"/>
      <c r="E47" s="11"/>
      <c r="F47" s="11"/>
      <c r="G47" s="11"/>
      <c r="H47" s="66"/>
      <c r="I47" s="69"/>
      <c r="J47" s="11"/>
      <c r="K47" s="11"/>
      <c r="L47" s="11"/>
      <c r="M47" s="11"/>
      <c r="N47" s="65">
        <f>C11</f>
        <v>0</v>
      </c>
      <c r="O47" s="70">
        <v>0</v>
      </c>
      <c r="P47" s="11"/>
      <c r="Q47" s="11"/>
    </row>
    <row r="48" spans="1:21">
      <c r="A48" s="11"/>
      <c r="B48" s="11"/>
      <c r="C48" s="11"/>
      <c r="D48" s="11"/>
      <c r="E48" s="11"/>
      <c r="F48" s="11"/>
      <c r="G48" s="11"/>
      <c r="H48" s="66"/>
      <c r="I48" s="69"/>
      <c r="J48" s="11"/>
      <c r="K48" s="11"/>
      <c r="L48" s="11"/>
      <c r="M48" s="11"/>
      <c r="N48" s="65">
        <f>C12</f>
        <v>1.4999999999999999E-4</v>
      </c>
      <c r="O48" s="71">
        <f>D12</f>
        <v>195.74999999999997</v>
      </c>
      <c r="P48" s="11"/>
      <c r="Q48" s="11"/>
    </row>
    <row r="49" spans="1:17">
      <c r="A49" s="11"/>
      <c r="B49" s="11"/>
      <c r="C49" s="11"/>
      <c r="D49" s="11"/>
      <c r="E49" s="11"/>
      <c r="F49" s="11"/>
      <c r="G49" s="11"/>
      <c r="H49" s="66"/>
      <c r="I49" s="69"/>
      <c r="J49" s="11"/>
      <c r="K49" s="11"/>
      <c r="L49" s="11"/>
      <c r="M49" s="11"/>
      <c r="N49" s="65">
        <f>C13</f>
        <v>1.5E-3</v>
      </c>
      <c r="O49" s="70">
        <f>D13</f>
        <v>0</v>
      </c>
      <c r="P49" s="11"/>
      <c r="Q49" s="11"/>
    </row>
    <row r="50" spans="1:17">
      <c r="A50" s="11"/>
      <c r="B50" s="11"/>
      <c r="C50" s="11"/>
      <c r="D50" s="11"/>
      <c r="E50" s="11"/>
      <c r="F50" s="11"/>
      <c r="G50" s="11"/>
      <c r="H50" s="66"/>
      <c r="I50" s="69"/>
      <c r="J50" s="11"/>
      <c r="K50" s="11"/>
      <c r="L50" s="11"/>
      <c r="M50" s="11"/>
      <c r="N50" s="62">
        <f>C14</f>
        <v>0</v>
      </c>
      <c r="O50" s="70">
        <f>D14</f>
        <v>0</v>
      </c>
      <c r="P50" s="11"/>
      <c r="Q50" s="11"/>
    </row>
    <row r="51" spans="1:17">
      <c r="A51" s="11"/>
      <c r="B51" s="11"/>
      <c r="C51" s="11"/>
      <c r="D51" s="11"/>
      <c r="E51" s="11"/>
      <c r="F51" s="11"/>
      <c r="G51" s="11"/>
      <c r="H51" s="66"/>
      <c r="I51" s="69"/>
      <c r="J51" s="11"/>
      <c r="K51" s="11"/>
      <c r="L51" s="11"/>
      <c r="M51" s="11"/>
      <c r="N51" s="11"/>
      <c r="O51" s="11"/>
      <c r="P51" s="11"/>
      <c r="Q51" s="11"/>
    </row>
    <row r="52" spans="1:17">
      <c r="A52" s="11"/>
      <c r="B52" s="11"/>
      <c r="C52" s="11"/>
      <c r="D52" s="11"/>
      <c r="E52" s="11"/>
      <c r="F52" s="11"/>
      <c r="G52" s="11"/>
      <c r="H52" s="66"/>
      <c r="I52" s="69"/>
      <c r="J52" s="11"/>
      <c r="K52" s="11"/>
      <c r="L52" s="11"/>
      <c r="M52" s="11"/>
      <c r="N52" s="11"/>
      <c r="O52" s="11"/>
      <c r="P52" s="11"/>
      <c r="Q52" s="11"/>
    </row>
    <row r="53" spans="1:17">
      <c r="A53" s="11"/>
      <c r="B53" s="11"/>
      <c r="C53" s="11"/>
      <c r="D53" s="11"/>
      <c r="E53" s="11"/>
      <c r="F53" s="11"/>
      <c r="G53" s="11"/>
      <c r="H53" s="66"/>
      <c r="I53" s="69"/>
      <c r="J53" s="11"/>
      <c r="K53" s="11"/>
      <c r="L53" s="11"/>
      <c r="M53" s="11"/>
      <c r="N53" s="11"/>
      <c r="O53" s="11"/>
      <c r="P53" s="11"/>
      <c r="Q53" s="11"/>
    </row>
    <row r="54" spans="1:17">
      <c r="A54" s="11"/>
      <c r="B54" s="11"/>
      <c r="C54" s="11"/>
      <c r="D54" s="11"/>
      <c r="E54" s="11"/>
      <c r="F54" s="11"/>
      <c r="G54" s="11"/>
      <c r="H54" s="66"/>
      <c r="I54" s="69"/>
      <c r="J54" s="11"/>
      <c r="K54" s="11"/>
      <c r="L54" s="11"/>
      <c r="M54" s="11"/>
      <c r="N54" s="11"/>
      <c r="O54" s="11"/>
      <c r="P54" s="11"/>
      <c r="Q54" s="11"/>
    </row>
    <row r="55" spans="1:17">
      <c r="A55" s="11"/>
      <c r="B55" s="11"/>
      <c r="C55" s="11"/>
      <c r="D55" s="11"/>
      <c r="E55" s="11"/>
      <c r="F55" s="11"/>
      <c r="G55" s="11"/>
      <c r="H55" s="66"/>
      <c r="I55" s="69"/>
      <c r="J55" s="11"/>
      <c r="K55" s="11"/>
      <c r="L55" s="11"/>
      <c r="M55" s="11"/>
      <c r="N55" s="11"/>
      <c r="O55" s="11"/>
      <c r="P55" s="11"/>
      <c r="Q55" s="11"/>
    </row>
    <row r="56" spans="1:17">
      <c r="A56" s="11"/>
      <c r="B56" s="11"/>
      <c r="C56" s="11"/>
      <c r="D56" s="11"/>
      <c r="E56" s="11"/>
      <c r="F56" s="11"/>
      <c r="G56" s="11"/>
      <c r="H56" s="66"/>
      <c r="I56" s="69"/>
      <c r="J56" s="11"/>
      <c r="K56" s="11"/>
      <c r="L56" s="11"/>
      <c r="M56" s="11"/>
      <c r="N56" s="11"/>
      <c r="O56" s="11"/>
      <c r="P56" s="11"/>
      <c r="Q56" s="11"/>
    </row>
    <row r="57" spans="1:17">
      <c r="A57" s="11"/>
      <c r="B57" s="11"/>
      <c r="C57" s="11"/>
      <c r="D57" s="11"/>
      <c r="E57" s="11"/>
      <c r="F57" s="11"/>
      <c r="G57" s="11"/>
      <c r="H57" s="66"/>
      <c r="I57" s="69"/>
      <c r="J57" s="11"/>
      <c r="K57" s="11"/>
      <c r="L57" s="11"/>
      <c r="M57" s="11"/>
      <c r="N57" s="11"/>
      <c r="O57" s="11"/>
      <c r="P57" s="11"/>
      <c r="Q57" s="11"/>
    </row>
    <row r="58" spans="1:17">
      <c r="A58" s="11"/>
      <c r="B58" s="11"/>
      <c r="C58" s="11"/>
      <c r="D58" s="11"/>
      <c r="E58" s="11"/>
      <c r="F58" s="11"/>
      <c r="G58" s="11"/>
      <c r="H58" s="11"/>
      <c r="I58" s="11"/>
      <c r="J58" s="11"/>
      <c r="K58" s="11"/>
      <c r="L58" s="11"/>
      <c r="M58" s="11"/>
      <c r="N58" s="11"/>
      <c r="O58" s="11"/>
      <c r="P58" s="11"/>
      <c r="Q58" s="11"/>
    </row>
    <row r="59" spans="1:17">
      <c r="A59" s="11"/>
      <c r="B59" s="11"/>
      <c r="C59" s="11"/>
      <c r="D59" s="11"/>
      <c r="E59" s="11"/>
      <c r="F59" s="11"/>
      <c r="G59" s="11"/>
      <c r="H59" s="11"/>
      <c r="I59" s="11"/>
      <c r="J59" s="11"/>
      <c r="K59" s="11"/>
      <c r="L59" s="11"/>
      <c r="M59" s="11"/>
      <c r="N59" s="11"/>
      <c r="O59" s="11"/>
      <c r="P59" s="11"/>
      <c r="Q59" s="11"/>
    </row>
    <row r="60" spans="1:17">
      <c r="A60" s="11"/>
      <c r="B60" s="11"/>
      <c r="C60" s="11"/>
      <c r="D60" s="11"/>
      <c r="E60" s="11"/>
      <c r="F60" s="11"/>
      <c r="G60" s="11"/>
      <c r="H60" s="11"/>
      <c r="I60" s="11"/>
      <c r="J60" s="11"/>
      <c r="K60" s="11"/>
      <c r="L60" s="11"/>
      <c r="M60" s="11"/>
      <c r="N60" s="11"/>
      <c r="O60" s="11"/>
      <c r="P60" s="11"/>
      <c r="Q60" s="11"/>
    </row>
    <row r="61" spans="1:17">
      <c r="A61" s="11"/>
      <c r="B61" s="11"/>
      <c r="C61" s="11"/>
      <c r="D61" s="11"/>
      <c r="E61" s="11"/>
      <c r="F61" s="11"/>
      <c r="G61" s="11"/>
      <c r="H61" s="11"/>
      <c r="I61" s="11"/>
      <c r="J61" s="11"/>
      <c r="K61" s="11"/>
      <c r="L61" s="11"/>
      <c r="M61" s="11"/>
      <c r="N61" s="11"/>
      <c r="O61" s="11"/>
      <c r="P61" s="11"/>
      <c r="Q61" s="11"/>
    </row>
    <row r="62" spans="1:17">
      <c r="A62" s="11"/>
      <c r="B62" s="11"/>
      <c r="C62" s="11"/>
      <c r="D62" s="11"/>
      <c r="E62" s="11"/>
      <c r="F62" s="11"/>
      <c r="G62" s="11"/>
      <c r="H62" s="11"/>
      <c r="I62" s="11"/>
      <c r="J62" s="11"/>
      <c r="K62" s="11"/>
      <c r="L62" s="11"/>
      <c r="M62" s="11"/>
      <c r="N62" s="11"/>
      <c r="O62" s="11"/>
      <c r="P62" s="11"/>
      <c r="Q62" s="11"/>
    </row>
    <row r="63" spans="1:17">
      <c r="A63" s="11"/>
      <c r="B63" s="11"/>
      <c r="C63" s="11"/>
      <c r="D63" s="11"/>
      <c r="E63" s="11"/>
      <c r="F63" s="11"/>
      <c r="G63" s="11"/>
      <c r="H63" s="11"/>
      <c r="I63" s="11"/>
      <c r="J63" s="11"/>
      <c r="K63" s="11"/>
      <c r="L63" s="11"/>
      <c r="M63" s="11"/>
      <c r="N63" s="11"/>
      <c r="O63" s="11"/>
      <c r="P63" s="11"/>
      <c r="Q63" s="11"/>
    </row>
    <row r="64" spans="1:17">
      <c r="A64" s="11"/>
      <c r="B64" s="11"/>
      <c r="C64" s="11"/>
      <c r="D64" s="11"/>
      <c r="E64" s="11"/>
      <c r="F64" s="11"/>
      <c r="G64" s="11"/>
      <c r="H64" s="11"/>
      <c r="I64" s="11"/>
      <c r="J64" s="11"/>
      <c r="K64" s="11"/>
      <c r="L64" s="11"/>
      <c r="M64" s="11"/>
      <c r="N64" s="11"/>
      <c r="O64" s="11"/>
      <c r="P64" s="11"/>
      <c r="Q64" s="11"/>
    </row>
  </sheetData>
  <sheetProtection algorithmName="SHA-512" hashValue="zPcIHiBaDPzhOuCkY84c8HnRhRmuj8fBAC7IDWWrS9HNf676Pe32g23Jrim7NwsHig2haG6fe0BnZTBCloLFdw==" saltValue="hxJ6p9c7RycqhY4eav4DmA==" spinCount="100000" sheet="1" objects="1" scenarios="1"/>
  <customSheetViews>
    <customSheetView guid="{2499ACAE-A2C7-4F7F-900A-65021AFAF04C}" showGridLines="0">
      <selection activeCell="I4" sqref="I4"/>
      <pageMargins left="0.7" right="0.7" top="0.75" bottom="0.75" header="0.3" footer="0.3"/>
      <pageSetup paperSize="9" orientation="portrait" r:id="rId1"/>
    </customSheetView>
    <customSheetView guid="{4556642F-611B-4273-921A-A5552A57B1F5}" showGridLines="0">
      <selection activeCell="I4" sqref="I4"/>
      <pageMargins left="0.7" right="0.7" top="0.75" bottom="0.75" header="0.3" footer="0.3"/>
      <pageSetup paperSize="9" orientation="portrait" r:id="rId2"/>
    </customSheetView>
    <customSheetView guid="{4F428F85-A986-464A-BD5B-D43EDDD1A16A}" showGridLines="0">
      <selection activeCell="I4" sqref="I4"/>
      <pageMargins left="0.7" right="0.7" top="0.75" bottom="0.75" header="0.3" footer="0.3"/>
      <pageSetup paperSize="9" orientation="portrait" r:id="rId3"/>
    </customSheetView>
  </customSheetViews>
  <mergeCells count="8">
    <mergeCell ref="N30:O30"/>
    <mergeCell ref="B2:O2"/>
    <mergeCell ref="G25:H25"/>
    <mergeCell ref="G26:H26"/>
    <mergeCell ref="G27:H27"/>
    <mergeCell ref="C9:D9"/>
    <mergeCell ref="E9:F9"/>
    <mergeCell ref="G9:H9"/>
  </mergeCells>
  <pageMargins left="0.7" right="0.7" top="0.75" bottom="0.75" header="0.3" footer="0.3"/>
  <pageSetup paperSize="9" orientation="portrait"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15"/>
  <sheetViews>
    <sheetView showGridLines="0" showRowColHeaders="0" workbookViewId="0">
      <selection activeCell="D36" sqref="D36"/>
    </sheetView>
  </sheetViews>
  <sheetFormatPr defaultRowHeight="15"/>
  <cols>
    <col min="1" max="1" width="2.7109375" style="3" customWidth="1"/>
    <col min="2" max="16384" width="9.140625" style="3"/>
  </cols>
  <sheetData>
    <row r="2" spans="2:13" ht="15" customHeight="1">
      <c r="B2" s="309" t="s">
        <v>86</v>
      </c>
      <c r="C2" s="309"/>
      <c r="D2" s="309"/>
      <c r="E2" s="309"/>
      <c r="F2" s="309"/>
      <c r="G2" s="309"/>
      <c r="H2" s="309"/>
      <c r="I2" s="309"/>
      <c r="J2" s="309"/>
      <c r="K2" s="309"/>
      <c r="L2" s="309"/>
      <c r="M2" s="309"/>
    </row>
    <row r="3" spans="2:13" ht="15.75" customHeight="1">
      <c r="B3" s="309"/>
      <c r="C3" s="309"/>
      <c r="D3" s="309"/>
      <c r="E3" s="309"/>
      <c r="F3" s="309"/>
      <c r="G3" s="309"/>
      <c r="H3" s="309"/>
      <c r="I3" s="309"/>
      <c r="J3" s="309"/>
      <c r="K3" s="309"/>
      <c r="L3" s="309"/>
      <c r="M3" s="309"/>
    </row>
    <row r="5" spans="2:13" ht="76.5" customHeight="1">
      <c r="B5" s="308" t="s">
        <v>90</v>
      </c>
      <c r="C5" s="308"/>
      <c r="D5" s="308"/>
      <c r="E5" s="308"/>
      <c r="F5" s="308"/>
      <c r="G5" s="308"/>
      <c r="H5" s="308"/>
      <c r="I5" s="308"/>
      <c r="J5" s="308"/>
      <c r="K5" s="308"/>
      <c r="L5" s="308"/>
      <c r="M5" s="308"/>
    </row>
    <row r="7" spans="2:13" ht="74.25" customHeight="1">
      <c r="B7" s="308" t="s">
        <v>91</v>
      </c>
      <c r="C7" s="308"/>
      <c r="D7" s="308"/>
      <c r="E7" s="308"/>
      <c r="F7" s="308"/>
      <c r="G7" s="308"/>
      <c r="H7" s="308"/>
      <c r="I7" s="308"/>
      <c r="J7" s="308"/>
      <c r="K7" s="308"/>
      <c r="L7" s="308"/>
      <c r="M7" s="308"/>
    </row>
    <row r="9" spans="2:13" ht="36" customHeight="1">
      <c r="B9" s="308" t="s">
        <v>87</v>
      </c>
      <c r="C9" s="308"/>
      <c r="D9" s="308"/>
      <c r="E9" s="308"/>
      <c r="F9" s="308"/>
      <c r="G9" s="308"/>
      <c r="H9" s="308"/>
      <c r="I9" s="308"/>
      <c r="J9" s="308"/>
      <c r="K9" s="308"/>
      <c r="L9" s="308"/>
      <c r="M9" s="308"/>
    </row>
    <row r="11" spans="2:13" s="1" customFormat="1" ht="69" customHeight="1">
      <c r="B11" s="308" t="s">
        <v>88</v>
      </c>
      <c r="C11" s="308"/>
      <c r="D11" s="308"/>
      <c r="E11" s="308"/>
      <c r="F11" s="308"/>
      <c r="G11" s="308"/>
      <c r="H11" s="308"/>
      <c r="I11" s="308"/>
      <c r="J11" s="308"/>
      <c r="K11" s="308"/>
      <c r="L11" s="308"/>
      <c r="M11" s="308"/>
    </row>
    <row r="13" spans="2:13" ht="111" customHeight="1">
      <c r="B13" s="308" t="s">
        <v>89</v>
      </c>
      <c r="C13" s="308"/>
      <c r="D13" s="308"/>
      <c r="E13" s="308"/>
      <c r="F13" s="308"/>
      <c r="G13" s="308"/>
      <c r="H13" s="308"/>
      <c r="I13" s="308"/>
      <c r="J13" s="308"/>
      <c r="K13" s="308"/>
      <c r="L13" s="308"/>
      <c r="M13" s="308"/>
    </row>
    <row r="15" spans="2:13" ht="97.5" customHeight="1">
      <c r="B15" s="308" t="s">
        <v>92</v>
      </c>
      <c r="C15" s="308"/>
      <c r="D15" s="308"/>
      <c r="E15" s="308"/>
      <c r="F15" s="308"/>
      <c r="G15" s="308"/>
      <c r="H15" s="308"/>
      <c r="I15" s="308"/>
      <c r="J15" s="308"/>
      <c r="K15" s="308"/>
      <c r="L15" s="308"/>
      <c r="M15" s="308"/>
    </row>
  </sheetData>
  <sheetProtection algorithmName="SHA-512" hashValue="c70nCXTR30M+ZaItOzViVEoKPNrcW8nJvrhHX+e8ZDYXD0UUDRsQDxOYf3AVCWYtUOdmzQp1aFSnmgH83oyvFA==" saltValue="BuwL33ie83sIf9+1mPY+LQ==" spinCount="100000" sheet="1" selectLockedCells="1" selectUnlockedCells="1"/>
  <customSheetViews>
    <customSheetView guid="{2499ACAE-A2C7-4F7F-900A-65021AFAF04C}" showGridLines="0" showRowCol="0" fitToPage="1">
      <selection activeCell="D36" sqref="D36"/>
      <rowBreaks count="2" manualBreakCount="2">
        <brk id="43" max="16383" man="1"/>
        <brk id="171" max="16383" man="1"/>
      </rowBreaks>
      <colBreaks count="2" manualBreakCount="2">
        <brk id="1" max="1048575" man="1"/>
        <brk id="13" max="1048575" man="1"/>
      </colBreaks>
      <pageMargins left="0.7" right="0.7" top="0.75" bottom="0.75" header="0.3" footer="0.3"/>
      <pageSetup paperSize="9" scale="71" fitToHeight="0" orientation="portrait" r:id="rId1"/>
    </customSheetView>
  </customSheetViews>
  <mergeCells count="7">
    <mergeCell ref="B15:M15"/>
    <mergeCell ref="B2:M3"/>
    <mergeCell ref="B5:M5"/>
    <mergeCell ref="B7:M7"/>
    <mergeCell ref="B9:M9"/>
    <mergeCell ref="B11:M11"/>
    <mergeCell ref="B13:M13"/>
  </mergeCells>
  <pageMargins left="0.7" right="0.7" top="0.75" bottom="0.75" header="0.3" footer="0.3"/>
  <pageSetup paperSize="9" scale="71" fitToHeight="0" orientation="portrait" r:id="rId2"/>
  <rowBreaks count="2" manualBreakCount="2">
    <brk id="43" max="16383" man="1"/>
    <brk id="171" max="16383" man="1"/>
  </rowBreaks>
  <colBreaks count="2" manualBreakCount="2">
    <brk id="1" max="1048575" man="1"/>
    <brk id="13" max="1048575" man="1"/>
  </col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20"/>
  <sheetViews>
    <sheetView showGridLines="0" showRowColHeaders="0" workbookViewId="0">
      <selection activeCell="AD7" sqref="AD7"/>
    </sheetView>
  </sheetViews>
  <sheetFormatPr defaultRowHeight="15"/>
  <cols>
    <col min="1" max="1" width="2.7109375" customWidth="1"/>
  </cols>
  <sheetData>
    <row r="2" spans="2:13" ht="15" customHeight="1">
      <c r="B2" s="309" t="s">
        <v>86</v>
      </c>
      <c r="C2" s="309"/>
      <c r="D2" s="309"/>
      <c r="E2" s="309"/>
      <c r="F2" s="309"/>
      <c r="G2" s="309"/>
      <c r="H2" s="309"/>
      <c r="I2" s="309"/>
      <c r="J2" s="309"/>
      <c r="K2" s="309"/>
      <c r="L2" s="309"/>
      <c r="M2" s="309"/>
    </row>
    <row r="3" spans="2:13" s="3" customFormat="1" ht="15.75" customHeight="1">
      <c r="B3" s="309"/>
      <c r="C3" s="309"/>
      <c r="D3" s="309"/>
      <c r="E3" s="309"/>
      <c r="F3" s="309"/>
      <c r="G3" s="309"/>
      <c r="H3" s="309"/>
      <c r="I3" s="309"/>
      <c r="J3" s="309"/>
      <c r="K3" s="309"/>
      <c r="L3" s="309"/>
      <c r="M3" s="309"/>
    </row>
    <row r="5" spans="2:13" ht="76.5" customHeight="1">
      <c r="B5" s="308" t="s">
        <v>90</v>
      </c>
      <c r="C5" s="308"/>
      <c r="D5" s="308"/>
      <c r="E5" s="308"/>
      <c r="F5" s="308"/>
      <c r="G5" s="308"/>
      <c r="H5" s="308"/>
      <c r="I5" s="308"/>
      <c r="J5" s="308"/>
      <c r="K5" s="308"/>
      <c r="L5" s="308"/>
      <c r="M5" s="308"/>
    </row>
    <row r="7" spans="2:13" ht="74.25" customHeight="1">
      <c r="B7" s="308" t="s">
        <v>91</v>
      </c>
      <c r="C7" s="308"/>
      <c r="D7" s="308"/>
      <c r="E7" s="308"/>
      <c r="F7" s="308"/>
      <c r="G7" s="308"/>
      <c r="H7" s="308"/>
      <c r="I7" s="308"/>
      <c r="J7" s="308"/>
      <c r="K7" s="308"/>
      <c r="L7" s="308"/>
      <c r="M7" s="308"/>
    </row>
    <row r="9" spans="2:13" ht="36" customHeight="1">
      <c r="B9" s="308" t="s">
        <v>87</v>
      </c>
      <c r="C9" s="308"/>
      <c r="D9" s="308"/>
      <c r="E9" s="308"/>
      <c r="F9" s="308"/>
      <c r="G9" s="308"/>
      <c r="H9" s="308"/>
      <c r="I9" s="308"/>
      <c r="J9" s="308"/>
      <c r="K9" s="308"/>
      <c r="L9" s="308"/>
      <c r="M9" s="308"/>
    </row>
    <row r="10" spans="2:13" s="3" customFormat="1"/>
    <row r="11" spans="2:13" s="1" customFormat="1" ht="69" customHeight="1">
      <c r="B11" s="308" t="s">
        <v>88</v>
      </c>
      <c r="C11" s="308"/>
      <c r="D11" s="308"/>
      <c r="E11" s="308"/>
      <c r="F11" s="308"/>
      <c r="G11" s="308"/>
      <c r="H11" s="308"/>
      <c r="I11" s="308"/>
      <c r="J11" s="308"/>
      <c r="K11" s="308"/>
      <c r="L11" s="308"/>
      <c r="M11" s="308"/>
    </row>
    <row r="12" spans="2:13">
      <c r="B12" s="3"/>
      <c r="C12" s="3"/>
      <c r="D12" s="3"/>
      <c r="E12" s="3"/>
      <c r="F12" s="3"/>
      <c r="G12" s="3"/>
      <c r="H12" s="3"/>
    </row>
    <row r="13" spans="2:13" ht="111" customHeight="1">
      <c r="B13" s="308" t="s">
        <v>89</v>
      </c>
      <c r="C13" s="308"/>
      <c r="D13" s="308"/>
      <c r="E13" s="308"/>
      <c r="F13" s="308"/>
      <c r="G13" s="308"/>
      <c r="H13" s="308"/>
      <c r="I13" s="308"/>
      <c r="J13" s="308"/>
      <c r="K13" s="308"/>
      <c r="L13" s="308"/>
      <c r="M13" s="308"/>
    </row>
    <row r="15" spans="2:13" ht="97.5" customHeight="1">
      <c r="B15" s="308" t="s">
        <v>92</v>
      </c>
      <c r="C15" s="308"/>
      <c r="D15" s="308"/>
      <c r="E15" s="308"/>
      <c r="F15" s="308"/>
      <c r="G15" s="308"/>
      <c r="H15" s="308"/>
      <c r="I15" s="308"/>
      <c r="J15" s="308"/>
      <c r="K15" s="308"/>
      <c r="L15" s="308"/>
      <c r="M15" s="308"/>
    </row>
    <row r="16" spans="2:13">
      <c r="B16" s="3"/>
    </row>
    <row r="18" spans="2:2">
      <c r="B18" s="3"/>
    </row>
    <row r="19" spans="2:2">
      <c r="B19" s="3"/>
    </row>
    <row r="20" spans="2:2">
      <c r="B20" s="3"/>
    </row>
  </sheetData>
  <sheetProtection algorithmName="SHA-512" hashValue="LsTYv4F1KTg90ElWKaVNQpTHI6vGuJdV7G+5wdEej+MXtspCMNtiyJV5WPBOM42ek7UPnb6AN73CpJNaBmBpNQ==" saltValue="O6EzZj2xahsvGMCuBeGzcA==" spinCount="100000" sheet="1" selectLockedCells="1" selectUnlockedCells="1"/>
  <customSheetViews>
    <customSheetView guid="{2499ACAE-A2C7-4F7F-900A-65021AFAF04C}" showGridLines="0" showRowCol="0" fitToPage="1">
      <selection activeCell="AD7" sqref="AD7"/>
      <rowBreaks count="2" manualBreakCount="2">
        <brk id="43" max="16383" man="1"/>
        <brk id="171" max="16383" man="1"/>
      </rowBreaks>
      <colBreaks count="2" manualBreakCount="2">
        <brk id="1" max="1048575" man="1"/>
        <brk id="13" max="1048575" man="1"/>
      </colBreaks>
      <pageMargins left="0.7" right="0.7" top="0.75" bottom="0.75" header="0.3" footer="0.3"/>
      <pageSetup paperSize="9" scale="71" fitToHeight="0" orientation="portrait" r:id="rId1"/>
    </customSheetView>
    <customSheetView guid="{4556642F-611B-4273-921A-A5552A57B1F5}" showGridLines="0" showRowCol="0" fitToPage="1">
      <selection activeCell="B11" sqref="B11:M11"/>
      <rowBreaks count="2" manualBreakCount="2">
        <brk id="43" max="16383" man="1"/>
        <brk id="171" max="16383" man="1"/>
      </rowBreaks>
      <colBreaks count="2" manualBreakCount="2">
        <brk id="1" max="1048575" man="1"/>
        <brk id="13" max="1048575" man="1"/>
      </colBreaks>
      <pageMargins left="0.7" right="0.7" top="0.75" bottom="0.75" header="0.3" footer="0.3"/>
      <pageSetup paperSize="9" scale="71" fitToHeight="0" orientation="portrait" r:id="rId2"/>
    </customSheetView>
    <customSheetView guid="{4F428F85-A986-464A-BD5B-D43EDDD1A16A}" showGridLines="0" showRowCol="0" fitToPage="1">
      <selection activeCell="B11" sqref="B11:M11"/>
      <rowBreaks count="2" manualBreakCount="2">
        <brk id="43" max="16383" man="1"/>
        <brk id="171" max="16383" man="1"/>
      </rowBreaks>
      <colBreaks count="2" manualBreakCount="2">
        <brk id="1" max="1048575" man="1"/>
        <brk id="13" max="1048575" man="1"/>
      </colBreaks>
      <pageMargins left="0.7" right="0.7" top="0.75" bottom="0.75" header="0.3" footer="0.3"/>
      <pageSetup paperSize="9" scale="71" fitToHeight="0" orientation="portrait" r:id="rId3"/>
    </customSheetView>
  </customSheetViews>
  <mergeCells count="7">
    <mergeCell ref="B5:M5"/>
    <mergeCell ref="B2:M3"/>
    <mergeCell ref="B15:M15"/>
    <mergeCell ref="B13:M13"/>
    <mergeCell ref="B11:M11"/>
    <mergeCell ref="B9:M9"/>
    <mergeCell ref="B7:M7"/>
  </mergeCells>
  <pageMargins left="0.7" right="0.7" top="0.75" bottom="0.75" header="0.3" footer="0.3"/>
  <pageSetup paperSize="9" scale="71" fitToHeight="0" orientation="portrait" r:id="rId4"/>
  <rowBreaks count="2" manualBreakCount="2">
    <brk id="43" max="16383" man="1"/>
    <brk id="171" max="16383" man="1"/>
  </rowBreaks>
  <colBreaks count="2" manualBreakCount="2">
    <brk id="1" max="1048575" man="1"/>
    <brk id="13" max="1048575" man="1"/>
  </col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5"/>
  <sheetViews>
    <sheetView showGridLines="0" showRowColHeaders="0" tabSelected="1" workbookViewId="0">
      <selection activeCell="H14" sqref="H14:J14"/>
    </sheetView>
  </sheetViews>
  <sheetFormatPr defaultRowHeight="15"/>
  <cols>
    <col min="1" max="1" width="3.28515625" customWidth="1"/>
  </cols>
  <sheetData>
    <row r="6" spans="2:11" ht="15.75">
      <c r="B6" s="25" t="s">
        <v>108</v>
      </c>
    </row>
    <row r="7" spans="2:11" ht="15.75">
      <c r="B7" s="25" t="s">
        <v>413</v>
      </c>
    </row>
    <row r="8" spans="2:11" s="3" customFormat="1" ht="15.75">
      <c r="B8" s="25" t="s">
        <v>493</v>
      </c>
    </row>
    <row r="10" spans="2:11">
      <c r="B10" s="255" t="s">
        <v>495</v>
      </c>
      <c r="C10" s="255"/>
      <c r="D10" s="255"/>
      <c r="E10" s="11"/>
      <c r="F10" s="11"/>
      <c r="G10" s="11"/>
      <c r="H10" s="11"/>
      <c r="I10" s="11"/>
      <c r="J10" s="11"/>
      <c r="K10" s="11"/>
    </row>
    <row r="11" spans="2:11">
      <c r="B11" s="256">
        <v>43650</v>
      </c>
      <c r="C11" s="255"/>
      <c r="D11" s="255"/>
      <c r="G11" s="11"/>
      <c r="H11" s="11"/>
      <c r="I11" s="11"/>
      <c r="J11" s="11"/>
      <c r="K11" s="11"/>
    </row>
    <row r="12" spans="2:11">
      <c r="B12" s="252" t="s">
        <v>106</v>
      </c>
      <c r="C12" s="252"/>
      <c r="D12" s="252"/>
      <c r="E12" s="11"/>
      <c r="F12" s="11"/>
      <c r="G12" s="11"/>
      <c r="H12" s="253" t="s">
        <v>107</v>
      </c>
      <c r="I12" s="253"/>
      <c r="J12" s="253"/>
    </row>
    <row r="13" spans="2:11">
      <c r="B13" s="11"/>
      <c r="C13" s="11"/>
      <c r="D13" s="11"/>
      <c r="E13" s="11"/>
      <c r="F13" s="11"/>
      <c r="G13" s="11"/>
      <c r="H13" s="11"/>
      <c r="I13" s="11"/>
      <c r="J13" s="11"/>
    </row>
    <row r="14" spans="2:11">
      <c r="B14" s="3"/>
      <c r="C14" s="3"/>
      <c r="D14" s="3"/>
      <c r="E14" s="3"/>
      <c r="F14" s="3"/>
      <c r="G14" s="3"/>
      <c r="H14" s="254" t="s">
        <v>106</v>
      </c>
      <c r="I14" s="254"/>
      <c r="J14" s="254"/>
    </row>
    <row r="15" spans="2:11">
      <c r="E15" s="3"/>
      <c r="F15" s="3"/>
      <c r="G15" s="3"/>
      <c r="H15" s="3"/>
      <c r="I15" s="3"/>
      <c r="J15" s="3"/>
      <c r="K15" s="3"/>
    </row>
  </sheetData>
  <sheetProtection algorithmName="SHA-512" hashValue="c8nL8bVpdMfruvqf8GhGK/zD6r8gT2xpdQzUCSmUlPSUt1eZJyoLr+JpMkazvvGQQCvL5mL1p+ASCeZfPDQ+gw==" saltValue="1r+uepTIA+JySiqj2Rji9w==" spinCount="100000" sheet="1" selectLockedCells="1"/>
  <customSheetViews>
    <customSheetView guid="{2499ACAE-A2C7-4F7F-900A-65021AFAF04C}" showGridLines="0" showRowCol="0">
      <selection activeCell="H14" sqref="H14:J14"/>
      <pageMargins left="0.7" right="0.7" top="0.75" bottom="0.75" header="0.3" footer="0.3"/>
    </customSheetView>
    <customSheetView guid="{4556642F-611B-4273-921A-A5552A57B1F5}" showGridLines="0" showRowCol="0">
      <selection activeCell="H13" sqref="H13:J13"/>
      <pageMargins left="0.7" right="0.7" top="0.75" bottom="0.75" header="0.3" footer="0.3"/>
    </customSheetView>
    <customSheetView guid="{4F428F85-A986-464A-BD5B-D43EDDD1A16A}" showGridLines="0" showRowCol="0">
      <selection activeCell="H13" sqref="H13:J13"/>
      <pageMargins left="0.7" right="0.7" top="0.75" bottom="0.75" header="0.3" footer="0.3"/>
    </customSheetView>
  </customSheetViews>
  <mergeCells count="5">
    <mergeCell ref="B12:D12"/>
    <mergeCell ref="H12:J12"/>
    <mergeCell ref="H14:J14"/>
    <mergeCell ref="B10:D10"/>
    <mergeCell ref="B11:D11"/>
  </mergeCells>
  <hyperlinks>
    <hyperlink ref="H14" r:id="rId1"/>
    <hyperlink ref="B12" r:id="rId2"/>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J151"/>
  <sheetViews>
    <sheetView showGridLines="0" showRowColHeaders="0" workbookViewId="0">
      <selection activeCell="B28" sqref="B28:F29"/>
    </sheetView>
  </sheetViews>
  <sheetFormatPr defaultRowHeight="15"/>
  <cols>
    <col min="1" max="1" width="2" customWidth="1"/>
    <col min="3" max="3" width="15.7109375" customWidth="1"/>
    <col min="4" max="4" width="33.42578125" customWidth="1"/>
    <col min="6" max="6" width="14.85546875" customWidth="1"/>
  </cols>
  <sheetData>
    <row r="1" spans="2:36">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row>
    <row r="2" spans="2:36" s="3" customFormat="1" ht="18.75">
      <c r="B2" s="258" t="s">
        <v>399</v>
      </c>
      <c r="C2" s="258"/>
      <c r="D2" s="258"/>
      <c r="E2" s="258"/>
      <c r="F2" s="25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row>
    <row r="3" spans="2:36" s="3" customFormat="1" ht="9" customHeight="1">
      <c r="B3" s="118"/>
      <c r="C3" s="118"/>
      <c r="D3" s="118"/>
      <c r="E3" s="118"/>
      <c r="F3" s="11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row>
    <row r="4" spans="2:36" s="3" customFormat="1" ht="15" customHeight="1">
      <c r="B4" s="29" t="s">
        <v>66</v>
      </c>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row>
    <row r="5" spans="2:36" s="3" customFormat="1" ht="15" customHeight="1" thickBot="1">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row>
    <row r="6" spans="2:36" s="3" customFormat="1" ht="15" customHeight="1" thickTop="1" thickBot="1">
      <c r="B6" s="257" t="s">
        <v>260</v>
      </c>
      <c r="C6" s="257"/>
      <c r="D6" s="257"/>
      <c r="E6" s="35" t="s">
        <v>370</v>
      </c>
      <c r="F6" s="12">
        <v>1800</v>
      </c>
      <c r="G6" s="144" t="s">
        <v>262</v>
      </c>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row>
    <row r="7" spans="2:36" s="3" customFormat="1" ht="15" customHeight="1" thickTop="1" thickBot="1">
      <c r="B7" s="257" t="s">
        <v>267</v>
      </c>
      <c r="C7" s="257"/>
      <c r="D7" s="257"/>
      <c r="E7" s="35" t="s">
        <v>371</v>
      </c>
      <c r="F7" s="12">
        <v>700</v>
      </c>
      <c r="G7" s="144" t="s">
        <v>262</v>
      </c>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row>
    <row r="8" spans="2:36" s="3" customFormat="1" ht="15" customHeight="1" thickTop="1" thickBot="1">
      <c r="B8" s="257" t="s">
        <v>393</v>
      </c>
      <c r="C8" s="257"/>
      <c r="D8" s="257"/>
      <c r="E8" s="35" t="s">
        <v>369</v>
      </c>
      <c r="F8" s="12">
        <v>1000</v>
      </c>
      <c r="G8" s="144" t="s">
        <v>262</v>
      </c>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row>
    <row r="9" spans="2:36" s="3" customFormat="1" ht="15" customHeight="1" thickTop="1" thickBot="1">
      <c r="B9" s="257" t="s">
        <v>394</v>
      </c>
      <c r="C9" s="257"/>
      <c r="D9" s="257"/>
      <c r="E9" s="20" t="s">
        <v>374</v>
      </c>
      <c r="F9" s="12">
        <v>6000</v>
      </c>
      <c r="G9" s="144" t="s">
        <v>262</v>
      </c>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row>
    <row r="10" spans="2:36" s="3" customFormat="1" ht="15" customHeight="1" thickTop="1" thickBot="1">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row>
    <row r="11" spans="2:36" s="3" customFormat="1" ht="15" customHeight="1" thickTop="1" thickBot="1">
      <c r="B11" s="28" t="s">
        <v>271</v>
      </c>
      <c r="C11" s="28"/>
      <c r="D11" s="28"/>
      <c r="E11" s="148" t="s">
        <v>375</v>
      </c>
      <c r="F11" s="12">
        <v>2.94</v>
      </c>
      <c r="G11" s="146" t="s">
        <v>272</v>
      </c>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row>
    <row r="12" spans="2:36" s="3" customFormat="1" ht="15" customHeight="1" thickTop="1" thickBot="1">
      <c r="B12" s="28" t="s">
        <v>273</v>
      </c>
      <c r="C12" s="28"/>
      <c r="D12" s="28"/>
      <c r="E12" s="148" t="s">
        <v>376</v>
      </c>
      <c r="F12" s="12">
        <v>0</v>
      </c>
      <c r="G12" s="146" t="s">
        <v>272</v>
      </c>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row>
    <row r="13" spans="2:36" s="3" customFormat="1" ht="15" customHeight="1" thickTop="1">
      <c r="B13" s="28"/>
      <c r="C13" s="28"/>
      <c r="D13" s="28"/>
      <c r="E13" s="148"/>
      <c r="F13" s="154"/>
      <c r="G13" s="146"/>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row>
    <row r="14" spans="2:36" s="3" customFormat="1" ht="15" customHeight="1" thickBot="1">
      <c r="B14" s="28" t="s">
        <v>395</v>
      </c>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row>
    <row r="15" spans="2:36" s="3" customFormat="1" ht="15" customHeight="1" thickTop="1">
      <c r="B15" s="259" t="s">
        <v>339</v>
      </c>
      <c r="C15" s="260"/>
      <c r="D15" s="260"/>
      <c r="E15" s="260"/>
      <c r="F15" s="261"/>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row>
    <row r="16" spans="2:36" s="3" customFormat="1" ht="15" customHeight="1" thickBot="1">
      <c r="B16" s="262"/>
      <c r="C16" s="263"/>
      <c r="D16" s="263"/>
      <c r="E16" s="263"/>
      <c r="F16" s="264"/>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row>
    <row r="17" spans="2:36" s="3" customFormat="1" ht="15" customHeight="1" thickTop="1" thickBot="1">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row>
    <row r="18" spans="2:36" s="3" customFormat="1" ht="15" customHeight="1" thickTop="1" thickBot="1">
      <c r="B18" s="257" t="s">
        <v>397</v>
      </c>
      <c r="C18" s="257"/>
      <c r="D18" s="257"/>
      <c r="E18" s="35" t="s">
        <v>384</v>
      </c>
      <c r="F18" s="12">
        <v>300</v>
      </c>
      <c r="G18" s="144" t="s">
        <v>262</v>
      </c>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row>
    <row r="19" spans="2:36" s="3" customFormat="1" ht="15" customHeight="1" thickTop="1">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row>
    <row r="20" spans="2:36" s="3" customFormat="1" ht="15" customHeight="1">
      <c r="B20" s="29" t="s">
        <v>381</v>
      </c>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row>
    <row r="21" spans="2:36" s="3" customFormat="1" ht="15" customHeight="1" thickBot="1">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row>
    <row r="22" spans="2:36" s="3" customFormat="1" ht="15" customHeight="1" thickTop="1" thickBot="1">
      <c r="B22" t="s">
        <v>147</v>
      </c>
      <c r="C22"/>
      <c r="D22"/>
      <c r="E22" s="28"/>
      <c r="F22" s="12" t="s">
        <v>173</v>
      </c>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row>
    <row r="23" spans="2:36" s="3" customFormat="1" ht="15" customHeight="1" thickTop="1" thickBot="1">
      <c r="B23" s="28" t="s">
        <v>353</v>
      </c>
      <c r="C23" s="28"/>
      <c r="D23"/>
      <c r="E23" s="28"/>
      <c r="F23" s="12" t="s">
        <v>354</v>
      </c>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row>
    <row r="24" spans="2:36" s="3" customFormat="1" ht="15" customHeight="1" thickTop="1" thickBot="1">
      <c r="B24" s="28" t="s">
        <v>319</v>
      </c>
      <c r="C24" s="28"/>
      <c r="D24" s="28"/>
      <c r="E24" s="28"/>
      <c r="F24" s="12">
        <v>2</v>
      </c>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row>
    <row r="25" spans="2:36" s="3" customFormat="1" ht="15" customHeight="1" thickTop="1">
      <c r="B25" s="28"/>
      <c r="C25" s="28"/>
      <c r="D25" s="28"/>
      <c r="E25" s="32"/>
      <c r="F25" s="33"/>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row>
    <row r="26" spans="2:36" s="3" customFormat="1">
      <c r="B26" s="29" t="s">
        <v>65</v>
      </c>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row>
    <row r="27" spans="2:36" ht="13.5" customHeight="1" thickBot="1">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row>
    <row r="28" spans="2:36" ht="16.5" customHeight="1" thickTop="1">
      <c r="B28" s="266" t="s">
        <v>485</v>
      </c>
      <c r="C28" s="267"/>
      <c r="D28" s="267"/>
      <c r="E28" s="267"/>
      <c r="F28" s="26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row>
    <row r="29" spans="2:36" ht="16.5" customHeight="1" thickBot="1">
      <c r="B29" s="269"/>
      <c r="C29" s="270"/>
      <c r="D29" s="270"/>
      <c r="E29" s="270"/>
      <c r="F29" s="271"/>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row>
    <row r="30" spans="2:36" ht="16.5" customHeight="1" thickTop="1" thickBot="1">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row>
    <row r="31" spans="2:36" ht="16.5" customHeight="1" thickTop="1" thickBot="1">
      <c r="B31" s="28" t="s">
        <v>41</v>
      </c>
      <c r="C31" s="34"/>
      <c r="D31" s="28"/>
      <c r="E31" s="35" t="s">
        <v>42</v>
      </c>
      <c r="F31" s="12" t="s">
        <v>48</v>
      </c>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row>
    <row r="32" spans="2:36" ht="16.5" customHeight="1" thickTop="1">
      <c r="B32" s="28" t="s">
        <v>44</v>
      </c>
      <c r="C32" s="34"/>
      <c r="D32" s="28"/>
      <c r="E32" s="35" t="s">
        <v>0</v>
      </c>
      <c r="F32" s="36">
        <f>VLOOKUP(DATI!F31,'FOGLIO DEPOSITO-muraturaC7-19'!B39:C41,2,FALSE)</f>
        <v>1.35</v>
      </c>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row>
    <row r="33" spans="2:36" ht="16.5" customHeight="1">
      <c r="B33" s="28"/>
      <c r="C33" s="34"/>
      <c r="D33" s="28"/>
      <c r="E33" s="35"/>
      <c r="F33" s="207"/>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row>
    <row r="34" spans="2:36" ht="16.5" customHeight="1">
      <c r="B34" s="28" t="s">
        <v>460</v>
      </c>
      <c r="C34" s="34"/>
      <c r="D34" s="28"/>
      <c r="E34" s="35"/>
      <c r="F34" s="207"/>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row>
    <row r="35" spans="2:36" ht="16.5" customHeight="1">
      <c r="B35" s="28" t="s">
        <v>461</v>
      </c>
      <c r="C35" s="34"/>
      <c r="D35" s="28"/>
      <c r="E35" s="35"/>
      <c r="F35" s="207"/>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row>
    <row r="36" spans="2:36" ht="16.5" customHeight="1" thickBot="1">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row>
    <row r="37" spans="2:36" ht="16.5" customHeight="1" thickTop="1" thickBot="1">
      <c r="B37" s="265" t="s">
        <v>462</v>
      </c>
      <c r="C37" s="37" t="s">
        <v>463</v>
      </c>
      <c r="D37" s="28"/>
      <c r="E37" s="3"/>
      <c r="F37" s="12" t="s">
        <v>56</v>
      </c>
      <c r="G37" s="28"/>
      <c r="H37" s="272" t="str">
        <f>IF(F59="si","ATTENZIONE COEFFICIENTI CORRETTIVI INSERITI MANUALMENTE! LA SELEZIONE IN QUESTO CASO NON PRODUCE NESSUN CAMBIAMENTO! SI CONSIDERANO SOLO I VALORI INSERITI DA UTENTE","")</f>
        <v/>
      </c>
      <c r="I37" s="272"/>
      <c r="J37" s="272"/>
      <c r="K37" s="272"/>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row>
    <row r="38" spans="2:36" s="3" customFormat="1" ht="16.5" customHeight="1" thickTop="1" thickBot="1">
      <c r="B38" s="265"/>
      <c r="C38" s="28"/>
      <c r="D38" s="28"/>
      <c r="F38" s="28"/>
      <c r="G38" s="28"/>
      <c r="H38" s="272"/>
      <c r="I38" s="272"/>
      <c r="J38" s="272"/>
      <c r="K38" s="272"/>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row>
    <row r="39" spans="2:36" s="3" customFormat="1" ht="16.5" customHeight="1" thickTop="1" thickBot="1">
      <c r="B39" s="265"/>
      <c r="C39" s="37" t="s">
        <v>52</v>
      </c>
      <c r="D39" s="28"/>
      <c r="F39" s="12" t="s">
        <v>56</v>
      </c>
      <c r="G39" s="28"/>
      <c r="H39" s="272"/>
      <c r="I39" s="272"/>
      <c r="J39" s="272"/>
      <c r="K39" s="272"/>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row>
    <row r="40" spans="2:36" s="3" customFormat="1" ht="16.5" thickTop="1" thickBot="1">
      <c r="B40" s="265"/>
      <c r="C40" s="28"/>
      <c r="D40" s="28"/>
      <c r="F40" s="28"/>
      <c r="G40" s="28"/>
      <c r="H40" s="272"/>
      <c r="I40" s="272"/>
      <c r="J40" s="272"/>
      <c r="K40" s="272"/>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row>
    <row r="41" spans="2:36" s="3" customFormat="1" ht="16.5" thickTop="1" thickBot="1">
      <c r="B41" s="265"/>
      <c r="C41" s="37" t="s">
        <v>50</v>
      </c>
      <c r="D41" s="28"/>
      <c r="F41" s="12" t="s">
        <v>56</v>
      </c>
      <c r="G41" s="28"/>
      <c r="H41" s="272"/>
      <c r="I41" s="272"/>
      <c r="J41" s="272"/>
      <c r="K41" s="272"/>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row>
    <row r="42" spans="2:36" ht="16.5" thickTop="1" thickBot="1">
      <c r="B42" s="28"/>
      <c r="C42" s="28"/>
      <c r="D42" s="3"/>
      <c r="E42" s="3"/>
      <c r="F42" s="28"/>
      <c r="G42" s="28"/>
      <c r="H42" s="272"/>
      <c r="I42" s="272"/>
      <c r="J42" s="272"/>
      <c r="K42" s="272"/>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row>
    <row r="43" spans="2:36" ht="16.5" thickTop="1" thickBot="1">
      <c r="B43" s="265" t="s">
        <v>494</v>
      </c>
      <c r="C43" s="28" t="s">
        <v>54</v>
      </c>
      <c r="D43" s="3"/>
      <c r="E43" s="3"/>
      <c r="F43" s="12" t="s">
        <v>56</v>
      </c>
      <c r="G43" s="3"/>
      <c r="H43" s="272"/>
      <c r="I43" s="272"/>
      <c r="J43" s="272"/>
      <c r="K43" s="272"/>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row>
    <row r="44" spans="2:36" ht="16.5" thickTop="1" thickBot="1">
      <c r="B44" s="265"/>
      <c r="C44" s="28"/>
      <c r="D44" s="3"/>
      <c r="E44" s="3"/>
      <c r="F44" s="28"/>
      <c r="G44" s="3"/>
      <c r="H44" s="272"/>
      <c r="I44" s="272"/>
      <c r="J44" s="272"/>
      <c r="K44" s="272"/>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row>
    <row r="45" spans="2:36" s="3" customFormat="1" ht="16.5" thickTop="1" thickBot="1">
      <c r="B45" s="265"/>
      <c r="C45" s="28" t="s">
        <v>465</v>
      </c>
      <c r="F45" s="12" t="s">
        <v>56</v>
      </c>
      <c r="H45" s="273" t="str">
        <f>IF(SUM('FOGLIO DEPOSITO-muraturaC7-19'!O82:O88)&gt;=3,"Condizione non ammessa da circ. n.7 del 21 gen. 2019; non si possono applicare più di due interventi migliorativi! §C8.5.3.1","")</f>
        <v/>
      </c>
      <c r="I45" s="273"/>
      <c r="J45" s="273"/>
      <c r="K45" s="273"/>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row>
    <row r="46" spans="2:36" ht="16.5" thickTop="1" thickBot="1">
      <c r="B46" s="265"/>
      <c r="C46" s="3"/>
      <c r="D46" s="3"/>
      <c r="E46" s="3"/>
      <c r="F46" s="3"/>
      <c r="G46" s="3"/>
      <c r="H46" s="273"/>
      <c r="I46" s="273"/>
      <c r="J46" s="273"/>
      <c r="K46" s="273"/>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row>
    <row r="47" spans="2:36" ht="16.5" thickTop="1" thickBot="1">
      <c r="B47" s="265"/>
      <c r="C47" s="37" t="s">
        <v>466</v>
      </c>
      <c r="D47" s="3"/>
      <c r="E47" s="3"/>
      <c r="F47" s="12" t="s">
        <v>56</v>
      </c>
      <c r="G47" s="3"/>
      <c r="H47" s="273"/>
      <c r="I47" s="273"/>
      <c r="J47" s="273"/>
      <c r="K47" s="273"/>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row>
    <row r="48" spans="2:36" ht="16.5" thickTop="1" thickBot="1">
      <c r="B48" s="265"/>
      <c r="C48" s="3"/>
      <c r="D48" s="28"/>
      <c r="E48" s="3"/>
      <c r="F48" s="154"/>
      <c r="G48" s="3"/>
      <c r="H48" s="273"/>
      <c r="I48" s="273"/>
      <c r="J48" s="273"/>
      <c r="K48" s="273"/>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row>
    <row r="49" spans="2:36" ht="16.5" thickTop="1" thickBot="1">
      <c r="B49" s="265"/>
      <c r="C49" s="37" t="s">
        <v>467</v>
      </c>
      <c r="D49" s="3"/>
      <c r="E49" s="3"/>
      <c r="F49" s="12" t="s">
        <v>56</v>
      </c>
      <c r="G49" s="3"/>
      <c r="H49" s="273"/>
      <c r="I49" s="273"/>
      <c r="J49" s="273"/>
      <c r="K49" s="273"/>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row>
    <row r="50" spans="2:36" ht="15.75" customHeight="1" thickTop="1" thickBot="1">
      <c r="B50" s="3"/>
      <c r="C50" s="3"/>
      <c r="D50" s="3"/>
      <c r="E50" s="3"/>
      <c r="F50" s="3"/>
      <c r="G50" s="28"/>
      <c r="H50" s="273"/>
      <c r="I50" s="273"/>
      <c r="J50" s="273"/>
      <c r="K50" s="273"/>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row>
    <row r="51" spans="2:36" ht="15.75" customHeight="1" thickTop="1" thickBot="1">
      <c r="B51" s="28" t="s">
        <v>139</v>
      </c>
      <c r="C51" s="28"/>
      <c r="D51" s="38"/>
      <c r="E51" s="3"/>
      <c r="F51" s="12" t="s">
        <v>132</v>
      </c>
      <c r="G51" s="28"/>
      <c r="H51" s="273"/>
      <c r="I51" s="273"/>
      <c r="J51" s="273"/>
      <c r="K51" s="273"/>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row>
    <row r="52" spans="2:36" ht="16.5" thickTop="1" thickBot="1">
      <c r="B52" s="28"/>
      <c r="C52" s="28"/>
      <c r="D52" s="38"/>
      <c r="E52" s="39"/>
      <c r="F52" s="154"/>
      <c r="G52" s="28"/>
      <c r="H52" s="3"/>
      <c r="I52" s="3"/>
      <c r="J52" s="3"/>
      <c r="K52" s="3"/>
      <c r="L52" s="28"/>
      <c r="P52" s="28"/>
      <c r="Q52" s="28"/>
      <c r="R52" s="28"/>
      <c r="S52" s="28"/>
      <c r="T52" s="28"/>
      <c r="U52" s="28"/>
      <c r="V52" s="28"/>
      <c r="W52" s="28"/>
      <c r="X52" s="28"/>
      <c r="Y52" s="28"/>
      <c r="Z52" s="28"/>
      <c r="AA52" s="28"/>
      <c r="AB52" s="28"/>
      <c r="AC52" s="28"/>
      <c r="AD52" s="28"/>
      <c r="AE52" s="28"/>
      <c r="AF52" s="28"/>
      <c r="AG52" s="28"/>
      <c r="AH52" s="28"/>
      <c r="AI52" s="28"/>
      <c r="AJ52" s="28"/>
    </row>
    <row r="53" spans="2:36" ht="16.5" thickTop="1" thickBot="1">
      <c r="B53" s="41" t="s">
        <v>102</v>
      </c>
      <c r="C53" s="28"/>
      <c r="D53" s="28"/>
      <c r="E53" s="28"/>
      <c r="F53" s="12" t="s">
        <v>59</v>
      </c>
      <c r="G53" s="28"/>
      <c r="H53" s="28"/>
      <c r="I53" s="28"/>
      <c r="J53" s="28"/>
      <c r="K53" s="28"/>
      <c r="L53" s="28"/>
      <c r="P53" s="28"/>
      <c r="Q53" s="28"/>
      <c r="R53" s="28"/>
      <c r="S53" s="28"/>
      <c r="T53" s="28"/>
      <c r="U53" s="28"/>
      <c r="V53" s="28"/>
      <c r="W53" s="28"/>
      <c r="X53" s="28"/>
      <c r="Y53" s="28"/>
      <c r="Z53" s="28"/>
      <c r="AA53" s="28"/>
      <c r="AB53" s="28"/>
      <c r="AC53" s="28"/>
      <c r="AD53" s="28"/>
      <c r="AE53" s="28"/>
      <c r="AF53" s="28"/>
      <c r="AG53" s="28"/>
      <c r="AH53" s="28"/>
      <c r="AI53" s="28"/>
      <c r="AJ53" s="28"/>
    </row>
    <row r="54" spans="2:36" ht="16.5" thickTop="1" thickBot="1">
      <c r="B54" s="28" t="s">
        <v>137</v>
      </c>
      <c r="C54" s="28"/>
      <c r="D54" s="28"/>
      <c r="E54" s="28"/>
      <c r="F54" s="117">
        <f>VLOOKUP(F53,'FOGLIO DEPOSITO-muraturaC7-19'!G29:H31,2,FALSE)</f>
        <v>2</v>
      </c>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row>
    <row r="55" spans="2:36" ht="16.5" thickTop="1" thickBot="1">
      <c r="B55" s="28" t="s">
        <v>142</v>
      </c>
      <c r="C55" s="28"/>
      <c r="D55" s="28"/>
      <c r="E55" s="28"/>
      <c r="F55" s="12">
        <v>3</v>
      </c>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row>
    <row r="56" spans="2:36" ht="15.75" thickTop="1">
      <c r="B56" s="3"/>
      <c r="C56" s="3"/>
      <c r="D56" s="3"/>
      <c r="E56" s="3"/>
      <c r="F56" s="3"/>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row>
    <row r="57" spans="2:36">
      <c r="B57" s="34" t="s">
        <v>468</v>
      </c>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row>
    <row r="58" spans="2:36" ht="15.75" thickBot="1">
      <c r="B58" s="28"/>
      <c r="C58" s="28"/>
      <c r="D58" s="28"/>
      <c r="E58" s="28"/>
      <c r="F58" s="28"/>
      <c r="G58" s="28"/>
      <c r="H58" s="28"/>
      <c r="I58" s="28"/>
      <c r="J58" s="3"/>
      <c r="K58" s="3"/>
      <c r="L58" s="3"/>
      <c r="M58" s="28"/>
      <c r="N58" s="28"/>
      <c r="O58" s="28"/>
      <c r="P58" s="28"/>
      <c r="Q58" s="28"/>
      <c r="R58" s="28"/>
      <c r="S58" s="28"/>
      <c r="T58" s="28"/>
      <c r="U58" s="28"/>
      <c r="V58" s="28"/>
      <c r="W58" s="28"/>
      <c r="X58" s="28"/>
      <c r="Y58" s="28"/>
      <c r="Z58" s="28"/>
      <c r="AA58" s="28"/>
      <c r="AB58" s="28"/>
      <c r="AC58" s="28"/>
      <c r="AD58" s="28"/>
      <c r="AE58" s="28"/>
      <c r="AF58" s="28"/>
      <c r="AG58" s="28"/>
      <c r="AH58" s="28"/>
      <c r="AI58" s="28"/>
      <c r="AJ58" s="28"/>
    </row>
    <row r="59" spans="2:36" ht="16.5" thickTop="1" thickBot="1">
      <c r="B59" s="28" t="s">
        <v>136</v>
      </c>
      <c r="C59" s="28"/>
      <c r="D59" s="38"/>
      <c r="E59" s="39"/>
      <c r="F59" s="12" t="s">
        <v>56</v>
      </c>
      <c r="G59" s="28"/>
      <c r="H59" s="28"/>
      <c r="I59" s="28"/>
      <c r="J59" s="3"/>
      <c r="K59" s="3"/>
      <c r="L59" s="3"/>
      <c r="M59" s="28"/>
      <c r="N59" s="28"/>
      <c r="O59" s="28"/>
      <c r="P59" s="28"/>
      <c r="Q59" s="28"/>
      <c r="R59" s="28"/>
      <c r="S59" s="28"/>
      <c r="T59" s="28"/>
      <c r="U59" s="28"/>
      <c r="V59" s="28"/>
      <c r="W59" s="28"/>
      <c r="X59" s="28"/>
      <c r="Y59" s="28"/>
      <c r="Z59" s="28"/>
      <c r="AA59" s="28"/>
      <c r="AB59" s="28"/>
      <c r="AC59" s="28"/>
      <c r="AD59" s="28"/>
      <c r="AE59" s="28"/>
      <c r="AF59" s="28"/>
      <c r="AG59" s="28"/>
      <c r="AH59" s="28"/>
      <c r="AI59" s="28"/>
      <c r="AJ59" s="28"/>
    </row>
    <row r="60" spans="2:36" ht="15.75" thickTop="1">
      <c r="B60" s="28" t="s">
        <v>140</v>
      </c>
      <c r="C60" s="28"/>
      <c r="D60" s="28"/>
      <c r="E60" s="28"/>
      <c r="F60" s="35"/>
      <c r="G60" s="28"/>
      <c r="H60" s="28"/>
      <c r="I60" s="28"/>
      <c r="J60" s="3"/>
      <c r="K60" s="3"/>
      <c r="L60" s="3"/>
      <c r="M60" s="28"/>
      <c r="N60" s="28"/>
      <c r="O60" s="28"/>
      <c r="P60" s="28"/>
      <c r="Q60" s="28"/>
      <c r="R60" s="28"/>
      <c r="S60" s="28"/>
      <c r="T60" s="28"/>
      <c r="U60" s="28"/>
      <c r="V60" s="28"/>
      <c r="W60" s="28"/>
      <c r="X60" s="28"/>
      <c r="Y60" s="28"/>
      <c r="Z60" s="28"/>
      <c r="AA60" s="28"/>
      <c r="AB60" s="28"/>
      <c r="AC60" s="28"/>
      <c r="AD60" s="28"/>
      <c r="AE60" s="28"/>
      <c r="AF60" s="28"/>
      <c r="AG60" s="28"/>
      <c r="AH60" s="28"/>
      <c r="AI60" s="28"/>
      <c r="AJ60" s="28"/>
    </row>
    <row r="61" spans="2:36">
      <c r="B61" s="76"/>
      <c r="C61" s="76"/>
      <c r="D61" s="3"/>
      <c r="E61" s="3"/>
      <c r="F61" s="248" t="s">
        <v>19</v>
      </c>
      <c r="G61" s="3"/>
      <c r="H61" s="3"/>
      <c r="I61" s="3"/>
      <c r="J61" s="3"/>
      <c r="K61" s="3"/>
      <c r="L61" s="3"/>
      <c r="M61" s="28"/>
      <c r="N61" s="28"/>
      <c r="O61" s="28"/>
      <c r="P61" s="28"/>
      <c r="Q61" s="28"/>
      <c r="R61" s="28"/>
      <c r="S61" s="28"/>
      <c r="T61" s="28"/>
      <c r="U61" s="28"/>
      <c r="V61" s="28"/>
      <c r="W61" s="28"/>
      <c r="X61" s="28"/>
      <c r="Y61" s="28"/>
      <c r="Z61" s="28"/>
      <c r="AA61" s="28"/>
      <c r="AB61" s="28"/>
      <c r="AC61" s="28"/>
      <c r="AD61" s="28"/>
      <c r="AE61" s="28"/>
      <c r="AF61" s="28"/>
      <c r="AG61" s="28"/>
      <c r="AH61" s="28"/>
      <c r="AI61" s="28"/>
      <c r="AJ61" s="28"/>
    </row>
    <row r="62" spans="2:36" ht="15.75" thickBot="1">
      <c r="B62" s="76"/>
      <c r="C62" s="76"/>
      <c r="D62" s="3"/>
      <c r="E62" s="3"/>
      <c r="F62" s="274"/>
      <c r="G62" s="3"/>
      <c r="H62" s="3"/>
      <c r="I62" s="3"/>
      <c r="J62" s="3"/>
      <c r="K62" s="3"/>
      <c r="L62" s="3"/>
      <c r="M62" s="28"/>
      <c r="N62" s="28"/>
      <c r="O62" s="28"/>
      <c r="P62" s="28"/>
      <c r="Q62" s="28"/>
      <c r="R62" s="28"/>
      <c r="S62" s="28"/>
      <c r="T62" s="28"/>
      <c r="U62" s="28"/>
      <c r="V62" s="28"/>
      <c r="W62" s="28"/>
      <c r="X62" s="28"/>
      <c r="Y62" s="28"/>
      <c r="Z62" s="28"/>
      <c r="AA62" s="28"/>
      <c r="AB62" s="28"/>
      <c r="AC62" s="28"/>
      <c r="AD62" s="28"/>
      <c r="AE62" s="28"/>
      <c r="AF62" s="28"/>
      <c r="AG62" s="28"/>
      <c r="AH62" s="28"/>
      <c r="AI62" s="28"/>
      <c r="AJ62" s="28"/>
    </row>
    <row r="63" spans="2:36" ht="16.5" thickTop="1" thickBot="1">
      <c r="B63" s="3"/>
      <c r="C63" s="265" t="s">
        <v>462</v>
      </c>
      <c r="D63" s="208" t="s">
        <v>24</v>
      </c>
      <c r="E63" s="77"/>
      <c r="F63" s="12">
        <v>1</v>
      </c>
      <c r="G63" s="3"/>
      <c r="H63" s="3"/>
      <c r="I63" s="3"/>
      <c r="J63" s="3"/>
      <c r="K63" s="3"/>
      <c r="L63" s="3"/>
      <c r="M63" s="28"/>
      <c r="N63" s="28"/>
      <c r="O63" s="28"/>
      <c r="P63" s="28"/>
      <c r="Q63" s="28"/>
      <c r="R63" s="28"/>
      <c r="S63" s="28"/>
      <c r="T63" s="28"/>
      <c r="U63" s="28"/>
      <c r="V63" s="28"/>
      <c r="W63" s="28"/>
      <c r="X63" s="28"/>
      <c r="Y63" s="28"/>
      <c r="Z63" s="28"/>
      <c r="AA63" s="28"/>
      <c r="AB63" s="28"/>
      <c r="AC63" s="28"/>
      <c r="AD63" s="28"/>
      <c r="AE63" s="28"/>
      <c r="AF63" s="28"/>
      <c r="AG63" s="28"/>
      <c r="AH63" s="28"/>
      <c r="AI63" s="28"/>
      <c r="AJ63" s="28"/>
    </row>
    <row r="64" spans="2:36" ht="16.5" thickTop="1" thickBot="1">
      <c r="B64" s="3"/>
      <c r="C64" s="265"/>
      <c r="D64" s="208" t="s">
        <v>52</v>
      </c>
      <c r="E64" s="77"/>
      <c r="F64" s="12">
        <v>1</v>
      </c>
      <c r="G64" s="3"/>
      <c r="H64" s="3"/>
      <c r="I64" s="3"/>
      <c r="J64" s="3"/>
      <c r="K64" s="3"/>
      <c r="L64" s="3"/>
      <c r="M64" s="28"/>
      <c r="N64" s="28"/>
      <c r="O64" s="28"/>
      <c r="P64" s="28"/>
      <c r="Q64" s="28"/>
      <c r="R64" s="28"/>
      <c r="S64" s="28"/>
      <c r="T64" s="28"/>
      <c r="U64" s="28"/>
      <c r="V64" s="28"/>
      <c r="W64" s="28"/>
      <c r="X64" s="28"/>
      <c r="Y64" s="28"/>
      <c r="Z64" s="28"/>
      <c r="AA64" s="28"/>
      <c r="AB64" s="28"/>
      <c r="AC64" s="28"/>
      <c r="AD64" s="28"/>
      <c r="AE64" s="28"/>
      <c r="AF64" s="28"/>
      <c r="AG64" s="28"/>
      <c r="AH64" s="28"/>
      <c r="AI64" s="28"/>
      <c r="AJ64" s="28"/>
    </row>
    <row r="65" spans="2:36" ht="16.5" thickTop="1" thickBot="1">
      <c r="B65" s="3"/>
      <c r="C65" s="265"/>
      <c r="D65" s="208" t="s">
        <v>50</v>
      </c>
      <c r="E65" s="77"/>
      <c r="F65" s="12">
        <v>1</v>
      </c>
      <c r="G65" s="3"/>
      <c r="H65" s="3"/>
      <c r="I65" s="3"/>
      <c r="J65" s="3"/>
      <c r="K65" s="3"/>
      <c r="L65" s="3"/>
      <c r="M65" s="28"/>
      <c r="N65" s="28"/>
      <c r="O65" s="28"/>
      <c r="P65" s="28"/>
      <c r="Q65" s="28"/>
      <c r="R65" s="28"/>
      <c r="S65" s="28"/>
      <c r="T65" s="28"/>
      <c r="U65" s="28"/>
      <c r="V65" s="28"/>
      <c r="W65" s="28"/>
      <c r="X65" s="28"/>
      <c r="Y65" s="28"/>
      <c r="Z65" s="28"/>
      <c r="AA65" s="28"/>
      <c r="AB65" s="28"/>
      <c r="AC65" s="28"/>
      <c r="AD65" s="28"/>
      <c r="AE65" s="28"/>
      <c r="AF65" s="28"/>
      <c r="AG65" s="28"/>
      <c r="AH65" s="28"/>
      <c r="AI65" s="28"/>
      <c r="AJ65" s="28"/>
    </row>
    <row r="66" spans="2:36" ht="16.5" thickTop="1" thickBot="1">
      <c r="B66" s="3"/>
      <c r="C66" s="209"/>
      <c r="D66" s="3"/>
      <c r="E66" s="3"/>
      <c r="F66" s="1"/>
      <c r="G66" s="3"/>
      <c r="H66" s="3"/>
      <c r="I66" s="3"/>
      <c r="J66" s="3"/>
      <c r="K66" s="3"/>
      <c r="L66" s="3"/>
      <c r="M66" s="28"/>
      <c r="N66" s="28"/>
      <c r="O66" s="28"/>
      <c r="P66" s="28"/>
      <c r="Q66" s="28"/>
      <c r="R66" s="28"/>
      <c r="S66" s="28"/>
      <c r="T66" s="28"/>
      <c r="U66" s="28"/>
      <c r="V66" s="28"/>
      <c r="W66" s="28"/>
      <c r="X66" s="28"/>
      <c r="Y66" s="28"/>
      <c r="Z66" s="28"/>
      <c r="AA66" s="28"/>
      <c r="AB66" s="28"/>
      <c r="AC66" s="28"/>
      <c r="AD66" s="28"/>
      <c r="AE66" s="28"/>
      <c r="AF66" s="28"/>
      <c r="AG66" s="28"/>
      <c r="AH66" s="28"/>
      <c r="AI66" s="28"/>
      <c r="AJ66" s="28"/>
    </row>
    <row r="67" spans="2:36" ht="16.5" thickTop="1" thickBot="1">
      <c r="B67" s="3"/>
      <c r="C67" s="265" t="s">
        <v>464</v>
      </c>
      <c r="D67" s="75" t="s">
        <v>54</v>
      </c>
      <c r="E67" s="78"/>
      <c r="F67" s="12">
        <v>1</v>
      </c>
      <c r="G67" s="3"/>
      <c r="H67" s="3"/>
      <c r="I67" s="3"/>
      <c r="J67" s="3"/>
      <c r="K67" s="3"/>
      <c r="L67" s="3"/>
      <c r="M67" s="28"/>
      <c r="N67" s="28"/>
      <c r="O67" s="28"/>
      <c r="P67" s="28"/>
      <c r="Q67" s="28"/>
      <c r="R67" s="28"/>
      <c r="S67" s="28"/>
      <c r="T67" s="28"/>
      <c r="U67" s="28"/>
      <c r="V67" s="28"/>
      <c r="W67" s="28"/>
      <c r="X67" s="28"/>
      <c r="Y67" s="28"/>
      <c r="Z67" s="28"/>
      <c r="AA67" s="28"/>
      <c r="AB67" s="28"/>
      <c r="AC67" s="28"/>
      <c r="AD67" s="28"/>
      <c r="AE67" s="28"/>
      <c r="AF67" s="28"/>
      <c r="AG67" s="28"/>
      <c r="AH67" s="28"/>
      <c r="AI67" s="28"/>
      <c r="AJ67" s="28"/>
    </row>
    <row r="68" spans="2:36" ht="16.5" thickTop="1" thickBot="1">
      <c r="B68" s="3"/>
      <c r="C68" s="265"/>
      <c r="D68" s="75" t="s">
        <v>93</v>
      </c>
      <c r="E68" s="78"/>
      <c r="F68" s="12">
        <v>1</v>
      </c>
      <c r="G68" s="3"/>
      <c r="H68" s="3"/>
      <c r="I68" s="3"/>
      <c r="J68" s="3"/>
      <c r="K68" s="3"/>
      <c r="L68" s="3"/>
      <c r="M68" s="28"/>
      <c r="N68" s="28"/>
      <c r="O68" s="28"/>
      <c r="P68" s="28"/>
      <c r="Q68" s="28"/>
      <c r="R68" s="28"/>
      <c r="S68" s="28"/>
      <c r="T68" s="28"/>
      <c r="U68" s="28"/>
      <c r="V68" s="28"/>
      <c r="W68" s="28"/>
      <c r="X68" s="28"/>
      <c r="Y68" s="28"/>
      <c r="Z68" s="28"/>
      <c r="AA68" s="28"/>
      <c r="AB68" s="28"/>
      <c r="AC68" s="28"/>
      <c r="AD68" s="28"/>
      <c r="AE68" s="28"/>
      <c r="AF68" s="28"/>
      <c r="AG68" s="28"/>
      <c r="AH68" s="28"/>
      <c r="AI68" s="28"/>
      <c r="AJ68" s="28"/>
    </row>
    <row r="69" spans="2:36" ht="31.5" thickTop="1" thickBot="1">
      <c r="B69" s="3"/>
      <c r="C69" s="265"/>
      <c r="D69" s="210" t="s">
        <v>466</v>
      </c>
      <c r="E69" s="77"/>
      <c r="F69" s="12">
        <v>1</v>
      </c>
      <c r="G69" s="3"/>
      <c r="H69" s="3"/>
      <c r="I69" s="3"/>
      <c r="J69" s="3"/>
      <c r="K69" s="3"/>
      <c r="L69" s="3"/>
      <c r="M69" s="28"/>
      <c r="N69" s="28"/>
      <c r="O69" s="28"/>
      <c r="P69" s="28"/>
      <c r="Q69" s="28"/>
      <c r="R69" s="28"/>
      <c r="S69" s="28"/>
      <c r="T69" s="28"/>
      <c r="U69" s="28"/>
      <c r="V69" s="28"/>
      <c r="W69" s="28"/>
      <c r="X69" s="28"/>
      <c r="Y69" s="28"/>
      <c r="Z69" s="28"/>
      <c r="AA69" s="28"/>
      <c r="AB69" s="28"/>
      <c r="AC69" s="28"/>
      <c r="AD69" s="28"/>
      <c r="AE69" s="28"/>
      <c r="AF69" s="28"/>
      <c r="AG69" s="28"/>
      <c r="AH69" s="28"/>
      <c r="AI69" s="28"/>
      <c r="AJ69" s="28"/>
    </row>
    <row r="70" spans="2:36" ht="31.5" thickTop="1" thickBot="1">
      <c r="B70" s="3"/>
      <c r="C70" s="265"/>
      <c r="D70" s="211" t="s">
        <v>467</v>
      </c>
      <c r="E70" s="77"/>
      <c r="F70" s="12">
        <v>1</v>
      </c>
      <c r="G70" s="3"/>
      <c r="H70" s="3"/>
      <c r="I70" s="3"/>
      <c r="J70" s="3"/>
      <c r="K70" s="3"/>
      <c r="L70" s="3"/>
      <c r="M70" s="28"/>
      <c r="N70" s="28"/>
      <c r="O70" s="28"/>
      <c r="P70" s="28"/>
      <c r="Q70" s="28"/>
      <c r="R70" s="28"/>
      <c r="S70" s="28"/>
      <c r="T70" s="28"/>
      <c r="U70" s="28"/>
      <c r="V70" s="28"/>
      <c r="W70" s="28"/>
      <c r="X70" s="28"/>
      <c r="Y70" s="28"/>
      <c r="Z70" s="28"/>
      <c r="AA70" s="28"/>
      <c r="AB70" s="28"/>
      <c r="AC70" s="28"/>
      <c r="AD70" s="28"/>
      <c r="AE70" s="28"/>
      <c r="AF70" s="28"/>
      <c r="AG70" s="28"/>
      <c r="AH70" s="28"/>
      <c r="AI70" s="28"/>
      <c r="AJ70" s="28"/>
    </row>
    <row r="71" spans="2:36" ht="15.75" thickTop="1">
      <c r="B71" s="28"/>
      <c r="C71" s="28"/>
      <c r="D71" s="28"/>
      <c r="E71" s="28"/>
      <c r="F71" s="35"/>
      <c r="G71" s="28"/>
      <c r="H71" s="28"/>
      <c r="I71" s="28"/>
      <c r="J71" s="3"/>
      <c r="K71" s="3"/>
      <c r="L71" s="3"/>
      <c r="M71" s="28"/>
      <c r="N71" s="28"/>
      <c r="O71" s="28"/>
      <c r="P71" s="28"/>
      <c r="Q71" s="28"/>
      <c r="R71" s="28"/>
      <c r="S71" s="28"/>
      <c r="T71" s="28"/>
      <c r="U71" s="28"/>
      <c r="V71" s="28"/>
      <c r="W71" s="28"/>
      <c r="X71" s="28"/>
      <c r="Y71" s="28"/>
      <c r="Z71" s="28"/>
      <c r="AA71" s="28"/>
      <c r="AB71" s="28"/>
      <c r="AC71" s="28"/>
      <c r="AD71" s="28"/>
      <c r="AE71" s="28"/>
      <c r="AF71" s="28"/>
      <c r="AG71" s="28"/>
      <c r="AH71" s="28"/>
      <c r="AI71" s="28"/>
      <c r="AJ71" s="28"/>
    </row>
    <row r="72" spans="2:36">
      <c r="B72" s="28"/>
      <c r="C72" s="28"/>
      <c r="D72" s="28"/>
      <c r="E72" s="28"/>
      <c r="F72" s="35"/>
      <c r="G72" s="28"/>
      <c r="H72" s="28"/>
      <c r="I72" s="28"/>
      <c r="J72" s="3"/>
      <c r="K72" s="3"/>
      <c r="L72" s="3"/>
      <c r="M72" s="28"/>
      <c r="N72" s="28"/>
      <c r="O72" s="28"/>
      <c r="P72" s="28"/>
      <c r="Q72" s="28"/>
      <c r="R72" s="28"/>
      <c r="S72" s="28"/>
      <c r="T72" s="28"/>
      <c r="U72" s="28"/>
      <c r="V72" s="28"/>
      <c r="W72" s="28"/>
      <c r="X72" s="28"/>
      <c r="Y72" s="28"/>
      <c r="Z72" s="28"/>
      <c r="AA72" s="28"/>
      <c r="AB72" s="28"/>
      <c r="AC72" s="28"/>
      <c r="AD72" s="28"/>
      <c r="AE72" s="28"/>
      <c r="AF72" s="28"/>
      <c r="AG72" s="28"/>
      <c r="AH72" s="28"/>
      <c r="AI72" s="28"/>
      <c r="AJ72" s="28"/>
    </row>
    <row r="73" spans="2:36">
      <c r="B73" s="28"/>
      <c r="C73" s="28"/>
      <c r="D73" s="3"/>
      <c r="E73" s="3"/>
      <c r="F73" s="248" t="s">
        <v>20</v>
      </c>
      <c r="G73" s="3"/>
      <c r="H73" s="3"/>
      <c r="I73" s="28"/>
      <c r="J73" s="3"/>
      <c r="K73" s="3"/>
      <c r="L73" s="3"/>
      <c r="M73" s="28"/>
      <c r="N73" s="28"/>
      <c r="O73" s="28"/>
      <c r="P73" s="28"/>
      <c r="Q73" s="28"/>
      <c r="R73" s="28"/>
      <c r="S73" s="28"/>
      <c r="T73" s="28"/>
      <c r="U73" s="28"/>
      <c r="V73" s="28"/>
      <c r="W73" s="28"/>
      <c r="X73" s="28"/>
      <c r="Y73" s="28"/>
      <c r="Z73" s="28"/>
      <c r="AA73" s="28"/>
      <c r="AB73" s="28"/>
      <c r="AC73" s="28"/>
      <c r="AD73" s="28"/>
      <c r="AE73" s="28"/>
      <c r="AF73" s="28"/>
      <c r="AG73" s="28"/>
      <c r="AH73" s="28"/>
      <c r="AI73" s="28"/>
      <c r="AJ73" s="28"/>
    </row>
    <row r="74" spans="2:36" ht="15.75" thickBot="1">
      <c r="B74" s="28"/>
      <c r="C74" s="28"/>
      <c r="D74" s="3"/>
      <c r="E74" s="3"/>
      <c r="F74" s="274"/>
      <c r="G74" s="3"/>
      <c r="H74" s="3"/>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row>
    <row r="75" spans="2:36" ht="16.5" thickTop="1" thickBot="1">
      <c r="B75" s="28"/>
      <c r="C75" s="265" t="s">
        <v>462</v>
      </c>
      <c r="D75" s="208" t="s">
        <v>24</v>
      </c>
      <c r="E75" s="3"/>
      <c r="F75" s="12">
        <v>1</v>
      </c>
      <c r="G75" s="3"/>
      <c r="H75" s="3"/>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row>
    <row r="76" spans="2:36" ht="16.5" thickTop="1" thickBot="1">
      <c r="B76" s="28"/>
      <c r="C76" s="265"/>
      <c r="D76" s="208" t="s">
        <v>52</v>
      </c>
      <c r="E76" s="3"/>
      <c r="F76" s="12">
        <v>1</v>
      </c>
      <c r="G76" s="3"/>
      <c r="H76" s="3"/>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row>
    <row r="77" spans="2:36" ht="16.5" thickTop="1" thickBot="1">
      <c r="B77" s="28"/>
      <c r="C77" s="265"/>
      <c r="D77" s="208" t="s">
        <v>50</v>
      </c>
      <c r="E77" s="3"/>
      <c r="F77" s="12">
        <v>1</v>
      </c>
      <c r="G77" s="3"/>
      <c r="H77" s="3"/>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row>
    <row r="78" spans="2:36" ht="16.5" thickTop="1" thickBot="1">
      <c r="B78" s="28"/>
      <c r="C78" s="209"/>
      <c r="D78" s="3"/>
      <c r="E78" s="3"/>
      <c r="F78" s="1"/>
      <c r="G78" s="3"/>
      <c r="H78" s="3"/>
      <c r="I78" s="28"/>
      <c r="J78" s="3"/>
      <c r="K78" s="3"/>
      <c r="L78" s="3"/>
      <c r="M78" s="28"/>
      <c r="N78" s="28"/>
      <c r="O78" s="28"/>
      <c r="P78" s="28"/>
      <c r="Q78" s="28"/>
      <c r="R78" s="28"/>
      <c r="S78" s="28"/>
      <c r="T78" s="28"/>
      <c r="U78" s="28"/>
      <c r="V78" s="28"/>
      <c r="W78" s="28"/>
      <c r="X78" s="28"/>
      <c r="Y78" s="28"/>
      <c r="Z78" s="28"/>
      <c r="AA78" s="28"/>
      <c r="AB78" s="28"/>
      <c r="AC78" s="28"/>
      <c r="AD78" s="28"/>
      <c r="AE78" s="28"/>
      <c r="AF78" s="28"/>
      <c r="AG78" s="28"/>
      <c r="AH78" s="28"/>
      <c r="AI78" s="28"/>
      <c r="AJ78" s="28"/>
    </row>
    <row r="79" spans="2:36" ht="16.5" thickTop="1" thickBot="1">
      <c r="B79" s="28"/>
      <c r="C79" s="265" t="s">
        <v>464</v>
      </c>
      <c r="D79" s="75" t="s">
        <v>54</v>
      </c>
      <c r="E79" s="3"/>
      <c r="F79" s="12">
        <v>1</v>
      </c>
      <c r="G79" s="3"/>
      <c r="H79" s="3"/>
      <c r="I79" s="28"/>
      <c r="J79" s="28"/>
      <c r="K79" s="3"/>
      <c r="L79" s="3"/>
      <c r="M79" s="28"/>
      <c r="N79" s="28"/>
      <c r="O79" s="28"/>
      <c r="P79" s="28"/>
      <c r="Q79" s="28"/>
      <c r="R79" s="28"/>
      <c r="S79" s="28"/>
      <c r="T79" s="28"/>
      <c r="U79" s="28"/>
      <c r="V79" s="28"/>
      <c r="W79" s="28"/>
      <c r="X79" s="28"/>
      <c r="Y79" s="28"/>
      <c r="Z79" s="28"/>
      <c r="AA79" s="28"/>
      <c r="AB79" s="28"/>
      <c r="AC79" s="28"/>
      <c r="AD79" s="28"/>
      <c r="AE79" s="28"/>
      <c r="AF79" s="28"/>
      <c r="AG79" s="28"/>
      <c r="AH79" s="28"/>
      <c r="AI79" s="28"/>
      <c r="AJ79" s="28"/>
    </row>
    <row r="80" spans="2:36" ht="16.5" thickTop="1" thickBot="1">
      <c r="B80" s="28"/>
      <c r="C80" s="265"/>
      <c r="D80" s="75" t="s">
        <v>93</v>
      </c>
      <c r="E80" s="3"/>
      <c r="F80" s="12">
        <v>1</v>
      </c>
      <c r="G80" s="3"/>
      <c r="H80" s="3"/>
      <c r="I80" s="28"/>
      <c r="J80" s="28"/>
      <c r="K80" s="3"/>
      <c r="L80" s="3"/>
      <c r="M80" s="28"/>
      <c r="N80" s="28"/>
      <c r="O80" s="28"/>
      <c r="P80" s="28"/>
      <c r="Q80" s="28"/>
      <c r="R80" s="28"/>
      <c r="S80" s="28"/>
      <c r="T80" s="28"/>
      <c r="U80" s="28"/>
      <c r="V80" s="28"/>
      <c r="W80" s="28"/>
      <c r="X80" s="28"/>
      <c r="Y80" s="28"/>
      <c r="Z80" s="28"/>
      <c r="AA80" s="28"/>
      <c r="AB80" s="28"/>
      <c r="AC80" s="28"/>
      <c r="AD80" s="28"/>
      <c r="AE80" s="28"/>
      <c r="AF80" s="28"/>
      <c r="AG80" s="28"/>
      <c r="AH80" s="28"/>
      <c r="AI80" s="28"/>
      <c r="AJ80" s="28"/>
    </row>
    <row r="81" spans="2:36" ht="31.5" thickTop="1" thickBot="1">
      <c r="B81" s="28"/>
      <c r="C81" s="265"/>
      <c r="D81" s="210" t="s">
        <v>466</v>
      </c>
      <c r="E81" s="3"/>
      <c r="F81" s="12">
        <v>1</v>
      </c>
      <c r="G81" s="3"/>
      <c r="H81" s="3"/>
      <c r="I81" s="28"/>
      <c r="J81" s="28"/>
      <c r="K81" s="3"/>
      <c r="L81" s="3"/>
      <c r="M81" s="28"/>
      <c r="N81" s="28"/>
      <c r="O81" s="28"/>
      <c r="P81" s="28"/>
      <c r="Q81" s="28"/>
      <c r="R81" s="28"/>
      <c r="S81" s="28"/>
      <c r="T81" s="28"/>
      <c r="U81" s="28"/>
      <c r="V81" s="28"/>
      <c r="W81" s="28"/>
      <c r="X81" s="28"/>
      <c r="Y81" s="28"/>
      <c r="Z81" s="28"/>
      <c r="AA81" s="28"/>
      <c r="AB81" s="28"/>
      <c r="AC81" s="28"/>
      <c r="AD81" s="28"/>
      <c r="AE81" s="28"/>
      <c r="AF81" s="28"/>
      <c r="AG81" s="28"/>
      <c r="AH81" s="28"/>
      <c r="AI81" s="28"/>
      <c r="AJ81" s="28"/>
    </row>
    <row r="82" spans="2:36" ht="31.5" thickTop="1" thickBot="1">
      <c r="B82" s="28"/>
      <c r="C82" s="265"/>
      <c r="D82" s="211" t="s">
        <v>467</v>
      </c>
      <c r="E82" s="3"/>
      <c r="F82" s="12">
        <v>1</v>
      </c>
      <c r="G82" s="3"/>
      <c r="H82" s="3"/>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row>
    <row r="83" spans="2:36" ht="15.75" thickTop="1">
      <c r="B83" s="28"/>
      <c r="C83" s="28"/>
      <c r="D83" s="3"/>
      <c r="E83" s="3"/>
      <c r="F83" s="1"/>
      <c r="G83" s="3"/>
      <c r="H83" s="3"/>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row>
    <row r="84" spans="2:36">
      <c r="B84" s="28"/>
      <c r="C84" s="28"/>
      <c r="D84" s="3"/>
      <c r="E84" s="3"/>
      <c r="F84" s="1"/>
      <c r="G84" s="3"/>
      <c r="H84" s="3"/>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row>
    <row r="85" spans="2:36">
      <c r="B85" s="28"/>
      <c r="C85" s="28"/>
      <c r="D85" s="3"/>
      <c r="E85" s="3"/>
      <c r="F85" s="248" t="s">
        <v>469</v>
      </c>
      <c r="G85" s="3"/>
      <c r="H85" s="3"/>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row>
    <row r="86" spans="2:36" ht="15.75" thickBot="1">
      <c r="B86" s="28"/>
      <c r="C86" s="28"/>
      <c r="D86" s="3"/>
      <c r="E86" s="3"/>
      <c r="F86" s="274"/>
      <c r="G86" s="3"/>
      <c r="H86" s="3"/>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row>
    <row r="87" spans="2:36" ht="16.5" thickTop="1" thickBot="1">
      <c r="B87" s="28"/>
      <c r="C87" s="265" t="s">
        <v>462</v>
      </c>
      <c r="D87" s="208" t="s">
        <v>24</v>
      </c>
      <c r="E87" s="3"/>
      <c r="F87" s="12">
        <v>1</v>
      </c>
      <c r="G87" s="3"/>
      <c r="H87" s="3"/>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row>
    <row r="88" spans="2:36" ht="16.5" thickTop="1" thickBot="1">
      <c r="B88" s="28"/>
      <c r="C88" s="265"/>
      <c r="D88" s="208" t="s">
        <v>52</v>
      </c>
      <c r="E88" s="3"/>
      <c r="F88" s="12">
        <v>1</v>
      </c>
      <c r="G88" s="3"/>
      <c r="H88" s="3"/>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row>
    <row r="89" spans="2:36" ht="16.5" thickTop="1" thickBot="1">
      <c r="B89" s="28"/>
      <c r="C89" s="265"/>
      <c r="D89" s="208" t="s">
        <v>50</v>
      </c>
      <c r="E89" s="3"/>
      <c r="F89" s="12">
        <v>1</v>
      </c>
      <c r="G89" s="3"/>
      <c r="H89" s="3"/>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row>
    <row r="90" spans="2:36" ht="16.5" thickTop="1" thickBot="1">
      <c r="B90" s="28"/>
      <c r="C90" s="209"/>
      <c r="D90" s="3"/>
      <c r="E90" s="3"/>
      <c r="F90" s="1"/>
      <c r="G90" s="3"/>
      <c r="H90" s="3"/>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row>
    <row r="91" spans="2:36" ht="16.5" thickTop="1" thickBot="1">
      <c r="B91" s="28"/>
      <c r="C91" s="265" t="s">
        <v>464</v>
      </c>
      <c r="D91" s="75" t="s">
        <v>54</v>
      </c>
      <c r="E91" s="3"/>
      <c r="F91" s="12">
        <v>1</v>
      </c>
      <c r="G91" s="3"/>
      <c r="H91" s="3"/>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row>
    <row r="92" spans="2:36" ht="16.5" thickTop="1" thickBot="1">
      <c r="B92" s="28"/>
      <c r="C92" s="265"/>
      <c r="D92" s="75" t="s">
        <v>93</v>
      </c>
      <c r="E92" s="3"/>
      <c r="F92" s="12">
        <v>1</v>
      </c>
      <c r="G92" s="3"/>
      <c r="H92" s="3"/>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row>
    <row r="93" spans="2:36" ht="31.5" thickTop="1" thickBot="1">
      <c r="B93" s="28"/>
      <c r="C93" s="265"/>
      <c r="D93" s="210" t="s">
        <v>466</v>
      </c>
      <c r="E93" s="3"/>
      <c r="F93" s="12">
        <v>1</v>
      </c>
      <c r="G93" s="3"/>
      <c r="H93" s="3"/>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row>
    <row r="94" spans="2:36" ht="31.5" thickTop="1" thickBot="1">
      <c r="B94" s="28"/>
      <c r="C94" s="265"/>
      <c r="D94" s="211" t="s">
        <v>467</v>
      </c>
      <c r="E94" s="3"/>
      <c r="F94" s="12">
        <v>1</v>
      </c>
      <c r="G94" s="3"/>
      <c r="H94" s="3"/>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row>
    <row r="95" spans="2:36" ht="15.75" thickTop="1">
      <c r="B95" s="28"/>
      <c r="C95" s="212"/>
      <c r="D95" s="213"/>
      <c r="E95" s="3"/>
      <c r="F95" s="73"/>
      <c r="G95" s="3"/>
      <c r="H95" s="3"/>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row>
    <row r="96" spans="2:36">
      <c r="B96" s="28"/>
      <c r="C96" s="28"/>
      <c r="D96" s="28"/>
      <c r="E96" s="28"/>
      <c r="F96" s="35"/>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row>
    <row r="97" spans="2:36">
      <c r="B97" s="28"/>
      <c r="C97" s="28"/>
      <c r="D97" s="28"/>
      <c r="E97" s="28"/>
      <c r="F97" s="248" t="s">
        <v>21</v>
      </c>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row>
    <row r="98" spans="2:36" ht="15.75" thickBot="1">
      <c r="B98" s="28"/>
      <c r="C98" s="28"/>
      <c r="D98" s="28"/>
      <c r="E98" s="28"/>
      <c r="F98" s="274"/>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row>
    <row r="99" spans="2:36" ht="16.5" thickTop="1" thickBot="1">
      <c r="B99" s="28"/>
      <c r="C99" s="265" t="s">
        <v>462</v>
      </c>
      <c r="D99" s="208" t="s">
        <v>24</v>
      </c>
      <c r="E99" s="28"/>
      <c r="F99" s="12">
        <v>1</v>
      </c>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row>
    <row r="100" spans="2:36" ht="16.5" thickTop="1" thickBot="1">
      <c r="B100" s="28"/>
      <c r="C100" s="265"/>
      <c r="D100" s="208" t="s">
        <v>52</v>
      </c>
      <c r="E100" s="28"/>
      <c r="F100" s="12">
        <v>1</v>
      </c>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row>
    <row r="101" spans="2:36" ht="16.5" thickTop="1" thickBot="1">
      <c r="B101" s="28"/>
      <c r="C101" s="265"/>
      <c r="D101" s="208" t="s">
        <v>50</v>
      </c>
      <c r="E101" s="28"/>
      <c r="F101" s="12">
        <v>1</v>
      </c>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row>
    <row r="102" spans="2:36" ht="16.5" thickTop="1" thickBot="1">
      <c r="B102" s="28"/>
      <c r="C102" s="209"/>
      <c r="D102" s="3"/>
      <c r="E102" s="3"/>
      <c r="F102" s="1"/>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row>
    <row r="103" spans="2:36" ht="16.5" thickTop="1" thickBot="1">
      <c r="B103" s="28"/>
      <c r="C103" s="265" t="s">
        <v>464</v>
      </c>
      <c r="D103" s="75" t="s">
        <v>54</v>
      </c>
      <c r="E103" s="28"/>
      <c r="F103" s="12">
        <v>1</v>
      </c>
      <c r="G103" s="28"/>
      <c r="H103" s="28"/>
      <c r="I103" s="28"/>
      <c r="J103" s="28"/>
      <c r="K103" s="3"/>
      <c r="L103" s="3"/>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row>
    <row r="104" spans="2:36" ht="16.5" thickTop="1" thickBot="1">
      <c r="B104" s="28"/>
      <c r="C104" s="265"/>
      <c r="D104" s="75" t="s">
        <v>93</v>
      </c>
      <c r="E104" s="28"/>
      <c r="F104" s="12">
        <v>1</v>
      </c>
      <c r="G104" s="28"/>
      <c r="H104" s="28"/>
      <c r="I104" s="28"/>
      <c r="J104" s="28"/>
      <c r="K104" s="3"/>
      <c r="L104" s="3"/>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row>
    <row r="105" spans="2:36" ht="31.5" thickTop="1" thickBot="1">
      <c r="B105" s="28"/>
      <c r="C105" s="265"/>
      <c r="D105" s="210" t="s">
        <v>466</v>
      </c>
      <c r="E105" s="28"/>
      <c r="F105" s="12">
        <v>1</v>
      </c>
      <c r="G105" s="28"/>
      <c r="H105" s="28"/>
      <c r="I105" s="28"/>
      <c r="J105" s="28"/>
      <c r="K105" s="3"/>
      <c r="L105" s="3"/>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row>
    <row r="106" spans="2:36" ht="31.5" thickTop="1" thickBot="1">
      <c r="B106" s="28"/>
      <c r="C106" s="265"/>
      <c r="D106" s="211" t="s">
        <v>467</v>
      </c>
      <c r="E106" s="28"/>
      <c r="F106" s="12">
        <v>1</v>
      </c>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row>
    <row r="107" spans="2:36" ht="15.75" thickTop="1">
      <c r="B107" s="28"/>
      <c r="C107" s="28"/>
      <c r="D107" s="3"/>
      <c r="E107" s="3"/>
      <c r="F107" s="1"/>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row>
    <row r="108" spans="2:36">
      <c r="B108" s="28"/>
      <c r="C108" s="28"/>
      <c r="D108" s="28"/>
      <c r="E108" s="28"/>
      <c r="F108" s="35"/>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row>
    <row r="109" spans="2:36">
      <c r="B109" s="28"/>
      <c r="C109" s="28"/>
      <c r="D109" s="28"/>
      <c r="E109" s="28"/>
      <c r="F109" s="248" t="s">
        <v>22</v>
      </c>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row>
    <row r="110" spans="2:36" ht="15.75" thickBot="1">
      <c r="B110" s="28"/>
      <c r="C110" s="28"/>
      <c r="D110" s="28"/>
      <c r="E110" s="28"/>
      <c r="F110" s="274"/>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row>
    <row r="111" spans="2:36" ht="16.5" thickTop="1" thickBot="1">
      <c r="B111" s="28"/>
      <c r="C111" s="265" t="s">
        <v>462</v>
      </c>
      <c r="D111" s="208" t="s">
        <v>24</v>
      </c>
      <c r="E111" s="28"/>
      <c r="F111" s="12">
        <v>1</v>
      </c>
      <c r="G111" s="28"/>
      <c r="H111" s="28"/>
      <c r="I111" s="28"/>
      <c r="J111" s="3"/>
      <c r="K111" s="3"/>
      <c r="L111" s="3"/>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row>
    <row r="112" spans="2:36" ht="16.5" thickTop="1" thickBot="1">
      <c r="B112" s="28"/>
      <c r="C112" s="265"/>
      <c r="D112" s="208" t="s">
        <v>52</v>
      </c>
      <c r="E112" s="28"/>
      <c r="F112" s="12">
        <v>1</v>
      </c>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row>
    <row r="113" spans="2:36" ht="16.5" thickTop="1" thickBot="1">
      <c r="B113" s="28"/>
      <c r="C113" s="265"/>
      <c r="D113" s="208" t="s">
        <v>50</v>
      </c>
      <c r="E113" s="28"/>
      <c r="F113" s="12">
        <v>1</v>
      </c>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row>
    <row r="114" spans="2:36" ht="16.5" thickTop="1" thickBot="1">
      <c r="B114" s="28"/>
      <c r="C114" s="209"/>
      <c r="D114" s="3"/>
      <c r="E114" s="3"/>
      <c r="F114" s="1"/>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row>
    <row r="115" spans="2:36" ht="16.5" thickTop="1" thickBot="1">
      <c r="B115" s="28"/>
      <c r="C115" s="265" t="s">
        <v>464</v>
      </c>
      <c r="D115" s="75" t="s">
        <v>54</v>
      </c>
      <c r="E115" s="28"/>
      <c r="F115" s="12">
        <v>1</v>
      </c>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row>
    <row r="116" spans="2:36" ht="16.5" thickTop="1" thickBot="1">
      <c r="B116" s="28"/>
      <c r="C116" s="265"/>
      <c r="D116" s="75" t="s">
        <v>93</v>
      </c>
      <c r="E116" s="28"/>
      <c r="F116" s="12">
        <v>1</v>
      </c>
      <c r="G116" s="28"/>
      <c r="H116" s="28"/>
      <c r="I116" s="28"/>
      <c r="J116" s="3"/>
      <c r="K116" s="3"/>
      <c r="L116" s="3"/>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row>
    <row r="117" spans="2:36" ht="31.5" thickTop="1" thickBot="1">
      <c r="B117" s="28"/>
      <c r="C117" s="265"/>
      <c r="D117" s="210" t="s">
        <v>466</v>
      </c>
      <c r="E117" s="28"/>
      <c r="F117" s="12">
        <v>1</v>
      </c>
      <c r="G117" s="28"/>
      <c r="H117" s="28"/>
      <c r="I117" s="28"/>
      <c r="J117" s="3"/>
      <c r="K117" s="3"/>
      <c r="L117" s="3"/>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row>
    <row r="118" spans="2:36" ht="31.5" thickTop="1" thickBot="1">
      <c r="B118" s="28"/>
      <c r="C118" s="265"/>
      <c r="D118" s="214" t="s">
        <v>467</v>
      </c>
      <c r="E118" s="28"/>
      <c r="F118" s="12">
        <v>1</v>
      </c>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row>
    <row r="119" spans="2:36" ht="15.75" thickTop="1">
      <c r="B119" s="28"/>
      <c r="C119" s="28"/>
      <c r="D119" s="3"/>
      <c r="E119" s="3"/>
      <c r="F119" s="1"/>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row>
    <row r="120" spans="2:36">
      <c r="B120" s="28"/>
      <c r="C120" s="28"/>
      <c r="D120" s="28"/>
      <c r="E120" s="28"/>
      <c r="F120" s="35"/>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row>
    <row r="121" spans="2:36">
      <c r="B121" s="28"/>
      <c r="C121" s="28"/>
      <c r="D121" s="28"/>
      <c r="E121" s="28"/>
      <c r="F121" s="248" t="s">
        <v>23</v>
      </c>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row>
    <row r="122" spans="2:36" ht="15.75" thickBot="1">
      <c r="B122" s="28"/>
      <c r="C122" s="28"/>
      <c r="D122" s="28"/>
      <c r="E122" s="28"/>
      <c r="F122" s="274"/>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row>
    <row r="123" spans="2:36" ht="16.5" thickTop="1" thickBot="1">
      <c r="B123" s="28"/>
      <c r="C123" s="265" t="s">
        <v>462</v>
      </c>
      <c r="D123" s="208" t="s">
        <v>24</v>
      </c>
      <c r="E123" s="28"/>
      <c r="F123" s="12">
        <v>1</v>
      </c>
      <c r="G123" s="28"/>
      <c r="H123" s="28"/>
      <c r="I123" s="28"/>
      <c r="J123" s="3"/>
      <c r="K123" s="3"/>
      <c r="L123" s="3"/>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row>
    <row r="124" spans="2:36" ht="16.5" thickTop="1" thickBot="1">
      <c r="B124" s="28"/>
      <c r="C124" s="265"/>
      <c r="D124" s="208" t="s">
        <v>52</v>
      </c>
      <c r="E124" s="28"/>
      <c r="F124" s="12">
        <v>1</v>
      </c>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row>
    <row r="125" spans="2:36" ht="16.5" thickTop="1" thickBot="1">
      <c r="B125" s="28"/>
      <c r="C125" s="265"/>
      <c r="D125" s="208" t="s">
        <v>50</v>
      </c>
      <c r="E125" s="28"/>
      <c r="F125" s="12">
        <v>1</v>
      </c>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row>
    <row r="126" spans="2:36" ht="16.5" thickTop="1" thickBot="1">
      <c r="B126" s="28"/>
      <c r="C126" s="209"/>
      <c r="D126" s="3"/>
      <c r="E126" s="3"/>
      <c r="F126" s="1"/>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row>
    <row r="127" spans="2:36" ht="16.5" thickTop="1" thickBot="1">
      <c r="B127" s="28"/>
      <c r="C127" s="265" t="s">
        <v>464</v>
      </c>
      <c r="D127" s="75" t="s">
        <v>54</v>
      </c>
      <c r="E127" s="28"/>
      <c r="F127" s="12">
        <v>1</v>
      </c>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row>
    <row r="128" spans="2:36" ht="16.5" thickTop="1" thickBot="1">
      <c r="B128" s="28"/>
      <c r="C128" s="265"/>
      <c r="D128" s="75" t="s">
        <v>93</v>
      </c>
      <c r="E128" s="28"/>
      <c r="F128" s="12">
        <v>1</v>
      </c>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row>
    <row r="129" spans="2:36" ht="31.5" thickTop="1" thickBot="1">
      <c r="B129" s="28"/>
      <c r="C129" s="265"/>
      <c r="D129" s="210" t="s">
        <v>466</v>
      </c>
      <c r="E129" s="28"/>
      <c r="F129" s="12">
        <v>1</v>
      </c>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row>
    <row r="130" spans="2:36" ht="31.5" thickTop="1" thickBot="1">
      <c r="B130" s="28"/>
      <c r="C130" s="265"/>
      <c r="D130" s="211" t="s">
        <v>467</v>
      </c>
      <c r="E130" s="28"/>
      <c r="F130" s="12">
        <v>1</v>
      </c>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row>
    <row r="131" spans="2:36" ht="15.75" thickTop="1">
      <c r="B131" s="28"/>
      <c r="C131" s="28"/>
      <c r="D131" s="28"/>
      <c r="E131" s="28"/>
      <c r="F131" s="35"/>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row>
    <row r="132" spans="2:36">
      <c r="B132" s="28"/>
      <c r="C132" s="28"/>
      <c r="D132" s="28"/>
      <c r="E132" s="28"/>
      <c r="F132" s="35"/>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row>
    <row r="133" spans="2:36">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row>
    <row r="134" spans="2:36">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row>
    <row r="135" spans="2:36">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row>
    <row r="136" spans="2:36">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row>
    <row r="137" spans="2:36">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row>
    <row r="138" spans="2:36">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row>
    <row r="139" spans="2:36">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row>
    <row r="140" spans="2:36">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row>
    <row r="141" spans="2:36">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row>
    <row r="142" spans="2:36">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row>
    <row r="143" spans="2:36">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row>
    <row r="144" spans="2:36">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row>
    <row r="145" spans="2:36">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row>
    <row r="146" spans="2:36">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row>
    <row r="147" spans="2:36">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row>
    <row r="148" spans="2:36">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row>
    <row r="149" spans="2:36">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row>
    <row r="150" spans="2:36">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row>
    <row r="151" spans="2:36">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row>
  </sheetData>
  <sheetProtection algorithmName="SHA-512" hashValue="ynMyB72r8EXMtbUfsmOHep2IVFVvc4qvJGWs7w5pmSDqYklFvLA+2bnJPfdQabDv55mZc5WCFxzWwq6y1T2mSw==" saltValue="4v4GV0xTslbdybZq7X/Gvg==" spinCount="100000" sheet="1" selectLockedCells="1"/>
  <customSheetViews>
    <customSheetView guid="{2499ACAE-A2C7-4F7F-900A-65021AFAF04C}" showGridLines="0" showRowCol="0">
      <selection activeCell="B28" sqref="B28:F29"/>
      <pageMargins left="0.7" right="0.7" top="0.75" bottom="0.75" header="0.3" footer="0.3"/>
      <pageSetup paperSize="9" orientation="portrait" r:id="rId1"/>
    </customSheetView>
    <customSheetView guid="{4556642F-611B-4273-921A-A5552A57B1F5}" showGridLines="0" showRowCol="0">
      <selection activeCell="F6" sqref="F6"/>
      <pageMargins left="0.7" right="0.7" top="0.75" bottom="0.75" header="0.3" footer="0.3"/>
      <pageSetup paperSize="9" orientation="portrait" r:id="rId2"/>
    </customSheetView>
    <customSheetView guid="{4F428F85-A986-464A-BD5B-D43EDDD1A16A}" showGridLines="0" showRowCol="0">
      <selection activeCell="F6" sqref="F6"/>
      <pageMargins left="0.7" right="0.7" top="0.75" bottom="0.75" header="0.3" footer="0.3"/>
      <pageSetup paperSize="9" orientation="portrait" r:id="rId3"/>
    </customSheetView>
  </customSheetViews>
  <mergeCells count="30">
    <mergeCell ref="C127:C130"/>
    <mergeCell ref="F85:F86"/>
    <mergeCell ref="C87:C89"/>
    <mergeCell ref="C91:C94"/>
    <mergeCell ref="F97:F98"/>
    <mergeCell ref="C99:C101"/>
    <mergeCell ref="C103:C106"/>
    <mergeCell ref="F109:F110"/>
    <mergeCell ref="C111:C113"/>
    <mergeCell ref="C115:C118"/>
    <mergeCell ref="F121:F122"/>
    <mergeCell ref="C123:C125"/>
    <mergeCell ref="C79:C82"/>
    <mergeCell ref="B28:F29"/>
    <mergeCell ref="B37:B41"/>
    <mergeCell ref="H37:K44"/>
    <mergeCell ref="B43:B49"/>
    <mergeCell ref="H45:K51"/>
    <mergeCell ref="F61:F62"/>
    <mergeCell ref="C63:C65"/>
    <mergeCell ref="C67:C70"/>
    <mergeCell ref="F73:F74"/>
    <mergeCell ref="C75:C77"/>
    <mergeCell ref="B18:D18"/>
    <mergeCell ref="B2:F2"/>
    <mergeCell ref="B15:F16"/>
    <mergeCell ref="B9:D9"/>
    <mergeCell ref="B8:D8"/>
    <mergeCell ref="B7:D7"/>
    <mergeCell ref="B6:D6"/>
  </mergeCells>
  <conditionalFormatting sqref="B55:F55">
    <cfRule type="expression" dxfId="17" priority="2">
      <formula>IF($F$36="utente",FALSE,TRUE)</formula>
    </cfRule>
  </conditionalFormatting>
  <conditionalFormatting sqref="F54">
    <cfRule type="expression" dxfId="16" priority="1">
      <formula>IF($F$36="utente",FALSE,TRUE)</formula>
    </cfRule>
  </conditionalFormatting>
  <dataValidations count="8">
    <dataValidation type="list" allowBlank="1" showInputMessage="1" showErrorMessage="1" sqref="F23">
      <formula1>mate</formula1>
    </dataValidation>
    <dataValidation type="list" allowBlank="1" showInputMessage="1" showErrorMessage="1" sqref="F22">
      <formula1>PROF</formula1>
    </dataValidation>
    <dataValidation type="list" allowBlank="1" showInputMessage="1" showErrorMessage="1" sqref="B15:F16">
      <formula1>cate</formula1>
    </dataValidation>
    <dataValidation type="list" allowBlank="1" showInputMessage="1" showErrorMessage="1" sqref="F31">
      <formula1>lclc</formula1>
    </dataValidation>
    <dataValidation type="list" allowBlank="1" showInputMessage="1" showErrorMessage="1" sqref="F37 F39 F41 F43 F45 F59 F47:F49">
      <formula1>snsn</formula1>
    </dataValidation>
    <dataValidation type="list" allowBlank="1" showInputMessage="1" showErrorMessage="1" sqref="B28:F29">
      <formula1>MUR</formula1>
    </dataValidation>
    <dataValidation type="list" allowBlank="1" showInputMessage="1" showErrorMessage="1" sqref="F53">
      <formula1>ann</formula1>
    </dataValidation>
    <dataValidation type="list" allowBlank="1" showInputMessage="1" showErrorMessage="1" sqref="F51">
      <formula1>percen</formula1>
    </dataValidation>
  </dataValidations>
  <pageMargins left="0.7" right="0.7" top="0.75" bottom="0.75" header="0.3" footer="0.3"/>
  <pageSetup paperSize="9" orientation="portrait"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108"/>
  <sheetViews>
    <sheetView topLeftCell="A69" workbookViewId="0">
      <selection activeCell="H102" sqref="H102"/>
    </sheetView>
  </sheetViews>
  <sheetFormatPr defaultRowHeight="15"/>
  <cols>
    <col min="2" max="2" width="13" customWidth="1"/>
  </cols>
  <sheetData>
    <row r="2" spans="1:22" ht="15.75" thickBot="1">
      <c r="A2" s="119"/>
      <c r="B2" s="120"/>
      <c r="C2" s="150">
        <v>2</v>
      </c>
      <c r="D2" s="150">
        <f>C2+1</f>
        <v>3</v>
      </c>
      <c r="E2" s="150">
        <f t="shared" ref="E2:J2" si="0">D2+1</f>
        <v>4</v>
      </c>
      <c r="F2" s="150">
        <f t="shared" si="0"/>
        <v>5</v>
      </c>
      <c r="G2" s="150">
        <f t="shared" si="0"/>
        <v>6</v>
      </c>
      <c r="H2" s="150">
        <f t="shared" si="0"/>
        <v>7</v>
      </c>
      <c r="I2" s="150">
        <f t="shared" si="0"/>
        <v>8</v>
      </c>
      <c r="J2" s="150">
        <f t="shared" si="0"/>
        <v>9</v>
      </c>
      <c r="K2" s="275" t="s">
        <v>143</v>
      </c>
      <c r="L2" s="276"/>
      <c r="M2" s="276"/>
      <c r="N2" s="276"/>
      <c r="O2" s="276"/>
      <c r="P2" s="276"/>
      <c r="Q2" s="120"/>
      <c r="R2" s="120"/>
      <c r="S2" s="120"/>
      <c r="T2" s="120"/>
      <c r="U2" s="120"/>
      <c r="V2" s="120"/>
    </row>
    <row r="3" spans="1:22" ht="15.75" thickBot="1">
      <c r="A3" s="119"/>
      <c r="B3" s="121"/>
      <c r="C3" s="278" t="s">
        <v>144</v>
      </c>
      <c r="D3" s="279"/>
      <c r="E3" s="279"/>
      <c r="F3" s="279"/>
      <c r="G3" s="280"/>
      <c r="H3" s="122"/>
      <c r="I3" s="122"/>
      <c r="J3" s="122"/>
      <c r="K3" s="277"/>
      <c r="L3" s="277"/>
      <c r="M3" s="277"/>
      <c r="N3" s="277"/>
      <c r="O3" s="277"/>
      <c r="P3" s="277"/>
      <c r="Q3" s="122"/>
      <c r="R3" s="123"/>
      <c r="S3" s="278" t="s">
        <v>145</v>
      </c>
      <c r="T3" s="279"/>
      <c r="U3" s="280"/>
      <c r="V3" s="124" t="s">
        <v>146</v>
      </c>
    </row>
    <row r="4" spans="1:22" ht="18" thickBot="1">
      <c r="A4" s="119"/>
      <c r="B4" s="125" t="s">
        <v>147</v>
      </c>
      <c r="C4" s="281" t="s">
        <v>148</v>
      </c>
      <c r="D4" s="282"/>
      <c r="E4" s="282"/>
      <c r="F4" s="282"/>
      <c r="G4" s="283"/>
      <c r="H4" s="125" t="s">
        <v>149</v>
      </c>
      <c r="I4" s="125" t="s">
        <v>150</v>
      </c>
      <c r="J4" s="125" t="s">
        <v>151</v>
      </c>
      <c r="K4" s="278" t="s">
        <v>152</v>
      </c>
      <c r="L4" s="279"/>
      <c r="M4" s="280"/>
      <c r="N4" s="278" t="s">
        <v>153</v>
      </c>
      <c r="O4" s="279"/>
      <c r="P4" s="280"/>
      <c r="Q4" s="125" t="s">
        <v>154</v>
      </c>
      <c r="R4" s="126" t="s">
        <v>155</v>
      </c>
      <c r="S4" s="278" t="s">
        <v>148</v>
      </c>
      <c r="T4" s="280"/>
      <c r="U4" s="127" t="s">
        <v>156</v>
      </c>
      <c r="V4" s="126" t="s">
        <v>157</v>
      </c>
    </row>
    <row r="5" spans="1:22" ht="17.25" thickBot="1">
      <c r="A5" s="119"/>
      <c r="B5" s="128"/>
      <c r="C5" s="127" t="s">
        <v>13</v>
      </c>
      <c r="D5" s="127" t="s">
        <v>12</v>
      </c>
      <c r="E5" s="127" t="s">
        <v>158</v>
      </c>
      <c r="F5" s="127" t="s">
        <v>159</v>
      </c>
      <c r="G5" s="127" t="s">
        <v>160</v>
      </c>
      <c r="H5" s="128"/>
      <c r="I5" s="128"/>
      <c r="J5" s="128"/>
      <c r="K5" s="127" t="s">
        <v>161</v>
      </c>
      <c r="L5" s="127" t="s">
        <v>162</v>
      </c>
      <c r="M5" s="127" t="s">
        <v>163</v>
      </c>
      <c r="N5" s="127" t="s">
        <v>164</v>
      </c>
      <c r="O5" s="127" t="s">
        <v>165</v>
      </c>
      <c r="P5" s="127" t="s">
        <v>166</v>
      </c>
      <c r="Q5" s="128"/>
      <c r="R5" s="129"/>
      <c r="S5" s="127" t="s">
        <v>167</v>
      </c>
      <c r="T5" s="127" t="s">
        <v>150</v>
      </c>
      <c r="U5" s="127" t="s">
        <v>168</v>
      </c>
      <c r="V5" s="127" t="s">
        <v>169</v>
      </c>
    </row>
    <row r="6" spans="1:22">
      <c r="A6" s="130">
        <f>C2</f>
        <v>2</v>
      </c>
      <c r="B6" s="124" t="s">
        <v>170</v>
      </c>
      <c r="C6" s="131">
        <v>80</v>
      </c>
      <c r="D6" s="131">
        <v>46</v>
      </c>
      <c r="E6" s="131">
        <v>3.8</v>
      </c>
      <c r="F6" s="131">
        <v>5.2</v>
      </c>
      <c r="G6" s="131">
        <v>5</v>
      </c>
      <c r="H6" s="131">
        <v>7.64</v>
      </c>
      <c r="I6" s="131">
        <v>6</v>
      </c>
      <c r="J6" s="131">
        <v>0.32800000000000001</v>
      </c>
      <c r="K6" s="131">
        <v>80.099999999999994</v>
      </c>
      <c r="L6" s="131">
        <v>20</v>
      </c>
      <c r="M6" s="131">
        <v>3.24</v>
      </c>
      <c r="N6" s="131">
        <v>8.49</v>
      </c>
      <c r="O6" s="131">
        <v>3.69</v>
      </c>
      <c r="P6" s="131">
        <v>1.05</v>
      </c>
      <c r="Q6" s="131">
        <v>11.6</v>
      </c>
      <c r="R6" s="131">
        <v>6.9</v>
      </c>
      <c r="S6" s="131">
        <v>6.4</v>
      </c>
      <c r="T6" s="131">
        <v>25</v>
      </c>
      <c r="U6" s="131">
        <v>6.31</v>
      </c>
      <c r="V6" s="131">
        <v>2.2999999999999998</v>
      </c>
    </row>
    <row r="7" spans="1:22" ht="15.75" thickBot="1">
      <c r="A7" s="130">
        <f>A6+1</f>
        <v>3</v>
      </c>
      <c r="B7" s="132" t="s">
        <v>171</v>
      </c>
      <c r="C7" s="133">
        <v>100</v>
      </c>
      <c r="D7" s="133">
        <v>55</v>
      </c>
      <c r="E7" s="133">
        <v>4.0999999999999996</v>
      </c>
      <c r="F7" s="133">
        <v>5.7</v>
      </c>
      <c r="G7" s="133">
        <v>7</v>
      </c>
      <c r="H7" s="133">
        <v>10.3</v>
      </c>
      <c r="I7" s="133">
        <v>8.1</v>
      </c>
      <c r="J7" s="133">
        <v>0.4</v>
      </c>
      <c r="K7" s="133">
        <v>171</v>
      </c>
      <c r="L7" s="133">
        <v>34.200000000000003</v>
      </c>
      <c r="M7" s="133">
        <v>4.07</v>
      </c>
      <c r="N7" s="133">
        <v>15.9</v>
      </c>
      <c r="O7" s="133">
        <v>5.79</v>
      </c>
      <c r="P7" s="133">
        <v>1.24</v>
      </c>
      <c r="Q7" s="133">
        <v>19.7</v>
      </c>
      <c r="R7" s="133">
        <v>8.68</v>
      </c>
      <c r="S7" s="133">
        <v>8.4</v>
      </c>
      <c r="T7" s="133">
        <v>30</v>
      </c>
      <c r="U7" s="133">
        <v>8.4</v>
      </c>
      <c r="V7" s="133">
        <v>2.75</v>
      </c>
    </row>
    <row r="8" spans="1:22">
      <c r="A8" s="130">
        <f t="shared" ref="A8:A71" si="1">A7+1</f>
        <v>4</v>
      </c>
      <c r="B8" s="124" t="s">
        <v>172</v>
      </c>
      <c r="C8" s="131">
        <v>120</v>
      </c>
      <c r="D8" s="131">
        <v>64</v>
      </c>
      <c r="E8" s="131">
        <v>4.4000000000000004</v>
      </c>
      <c r="F8" s="131">
        <v>6.3</v>
      </c>
      <c r="G8" s="131">
        <v>7</v>
      </c>
      <c r="H8" s="131">
        <v>13.2</v>
      </c>
      <c r="I8" s="131">
        <v>10.4</v>
      </c>
      <c r="J8" s="131">
        <v>0.47499999999999998</v>
      </c>
      <c r="K8" s="131">
        <v>318</v>
      </c>
      <c r="L8" s="131">
        <v>53</v>
      </c>
      <c r="M8" s="131">
        <v>4.9000000000000004</v>
      </c>
      <c r="N8" s="131">
        <v>27.7</v>
      </c>
      <c r="O8" s="131">
        <v>8.65</v>
      </c>
      <c r="P8" s="131">
        <v>1.45</v>
      </c>
      <c r="Q8" s="131">
        <v>30.4</v>
      </c>
      <c r="R8" s="131">
        <v>10.5</v>
      </c>
      <c r="S8" s="131">
        <v>8.4</v>
      </c>
      <c r="T8" s="131">
        <v>35</v>
      </c>
      <c r="U8" s="131">
        <v>11.1</v>
      </c>
      <c r="V8" s="131">
        <v>3.2</v>
      </c>
    </row>
    <row r="9" spans="1:22">
      <c r="A9" s="130">
        <f t="shared" si="1"/>
        <v>5</v>
      </c>
      <c r="B9" s="134" t="s">
        <v>173</v>
      </c>
      <c r="C9" s="135">
        <v>140</v>
      </c>
      <c r="D9" s="135">
        <v>73</v>
      </c>
      <c r="E9" s="135">
        <v>4.7</v>
      </c>
      <c r="F9" s="135">
        <v>6.9</v>
      </c>
      <c r="G9" s="135">
        <v>7</v>
      </c>
      <c r="H9" s="135">
        <v>16.399999999999999</v>
      </c>
      <c r="I9" s="135">
        <v>12.9</v>
      </c>
      <c r="J9" s="135">
        <v>0.55100000000000005</v>
      </c>
      <c r="K9" s="135">
        <v>541</v>
      </c>
      <c r="L9" s="135">
        <v>77.3</v>
      </c>
      <c r="M9" s="135">
        <v>5.74</v>
      </c>
      <c r="N9" s="135">
        <v>44.9</v>
      </c>
      <c r="O9" s="135">
        <v>12.3</v>
      </c>
      <c r="P9" s="135">
        <v>1.65</v>
      </c>
      <c r="Q9" s="135">
        <v>44.2</v>
      </c>
      <c r="R9" s="135">
        <v>12.3</v>
      </c>
      <c r="S9" s="135">
        <v>11</v>
      </c>
      <c r="T9" s="135">
        <v>40</v>
      </c>
      <c r="U9" s="135">
        <v>13.4</v>
      </c>
      <c r="V9" s="135">
        <v>3.65</v>
      </c>
    </row>
    <row r="10" spans="1:22">
      <c r="A10" s="130">
        <f t="shared" si="1"/>
        <v>6</v>
      </c>
      <c r="B10" s="134" t="s">
        <v>174</v>
      </c>
      <c r="C10" s="135">
        <v>160</v>
      </c>
      <c r="D10" s="135">
        <v>82</v>
      </c>
      <c r="E10" s="135">
        <v>5</v>
      </c>
      <c r="F10" s="135">
        <v>7.4</v>
      </c>
      <c r="G10" s="135">
        <v>9</v>
      </c>
      <c r="H10" s="135">
        <v>20.100000000000001</v>
      </c>
      <c r="I10" s="135">
        <v>15.8</v>
      </c>
      <c r="J10" s="135">
        <v>0.623</v>
      </c>
      <c r="K10" s="135">
        <v>869</v>
      </c>
      <c r="L10" s="135">
        <v>109</v>
      </c>
      <c r="M10" s="135">
        <v>6.58</v>
      </c>
      <c r="N10" s="135">
        <v>68.3</v>
      </c>
      <c r="O10" s="135">
        <v>16.7</v>
      </c>
      <c r="P10" s="135">
        <v>1.84</v>
      </c>
      <c r="Q10" s="135">
        <v>61.9</v>
      </c>
      <c r="R10" s="135">
        <v>14</v>
      </c>
      <c r="S10" s="135">
        <v>13</v>
      </c>
      <c r="T10" s="135">
        <v>44</v>
      </c>
      <c r="U10" s="135">
        <v>16.3</v>
      </c>
      <c r="V10" s="135">
        <v>4.0999999999999996</v>
      </c>
    </row>
    <row r="11" spans="1:22">
      <c r="A11" s="130">
        <f t="shared" si="1"/>
        <v>7</v>
      </c>
      <c r="B11" s="134" t="s">
        <v>175</v>
      </c>
      <c r="C11" s="135">
        <v>180</v>
      </c>
      <c r="D11" s="135">
        <v>91</v>
      </c>
      <c r="E11" s="135">
        <v>5.3</v>
      </c>
      <c r="F11" s="135">
        <v>8</v>
      </c>
      <c r="G11" s="135">
        <v>9</v>
      </c>
      <c r="H11" s="135">
        <v>23.9</v>
      </c>
      <c r="I11" s="135">
        <v>18.8</v>
      </c>
      <c r="J11" s="135">
        <v>0.69799999999999995</v>
      </c>
      <c r="K11" s="135">
        <v>1317</v>
      </c>
      <c r="L11" s="135">
        <v>146</v>
      </c>
      <c r="M11" s="135">
        <v>7.42</v>
      </c>
      <c r="N11" s="135">
        <v>101</v>
      </c>
      <c r="O11" s="135">
        <v>22.2</v>
      </c>
      <c r="P11" s="135">
        <v>2.0499999999999998</v>
      </c>
      <c r="Q11" s="135">
        <v>83.2</v>
      </c>
      <c r="R11" s="135">
        <v>15.8</v>
      </c>
      <c r="S11" s="135">
        <v>13</v>
      </c>
      <c r="T11" s="135">
        <v>48</v>
      </c>
      <c r="U11" s="135">
        <v>19.8</v>
      </c>
      <c r="V11" s="135">
        <v>4.55</v>
      </c>
    </row>
    <row r="12" spans="1:22" ht="15.75" thickBot="1">
      <c r="A12" s="130">
        <f t="shared" si="1"/>
        <v>8</v>
      </c>
      <c r="B12" s="132" t="s">
        <v>176</v>
      </c>
      <c r="C12" s="133">
        <v>200</v>
      </c>
      <c r="D12" s="133">
        <v>100</v>
      </c>
      <c r="E12" s="133">
        <v>5.6</v>
      </c>
      <c r="F12" s="133">
        <v>8.5</v>
      </c>
      <c r="G12" s="133">
        <v>12</v>
      </c>
      <c r="H12" s="133">
        <v>28.5</v>
      </c>
      <c r="I12" s="133">
        <v>22.4</v>
      </c>
      <c r="J12" s="133">
        <v>0.76800000000000002</v>
      </c>
      <c r="K12" s="133">
        <v>1943</v>
      </c>
      <c r="L12" s="133">
        <v>194</v>
      </c>
      <c r="M12" s="133">
        <v>8.26</v>
      </c>
      <c r="N12" s="133">
        <v>142</v>
      </c>
      <c r="O12" s="133">
        <v>28.5</v>
      </c>
      <c r="P12" s="133">
        <v>2.2400000000000002</v>
      </c>
      <c r="Q12" s="133">
        <v>110</v>
      </c>
      <c r="R12" s="133">
        <v>17.600000000000001</v>
      </c>
      <c r="S12" s="133">
        <v>13</v>
      </c>
      <c r="T12" s="133">
        <v>52</v>
      </c>
      <c r="U12" s="133">
        <v>24.1</v>
      </c>
      <c r="V12" s="133">
        <v>5</v>
      </c>
    </row>
    <row r="13" spans="1:22">
      <c r="A13" s="130">
        <f t="shared" si="1"/>
        <v>9</v>
      </c>
      <c r="B13" s="124" t="s">
        <v>177</v>
      </c>
      <c r="C13" s="131">
        <v>220</v>
      </c>
      <c r="D13" s="131">
        <v>110</v>
      </c>
      <c r="E13" s="131">
        <v>5.9</v>
      </c>
      <c r="F13" s="131">
        <v>9.1999999999999993</v>
      </c>
      <c r="G13" s="131">
        <v>12</v>
      </c>
      <c r="H13" s="131">
        <v>33.4</v>
      </c>
      <c r="I13" s="131">
        <v>26.2</v>
      </c>
      <c r="J13" s="131">
        <v>0.84799999999999998</v>
      </c>
      <c r="K13" s="131">
        <v>2772</v>
      </c>
      <c r="L13" s="131">
        <v>252</v>
      </c>
      <c r="M13" s="131">
        <v>9.11</v>
      </c>
      <c r="N13" s="131">
        <v>205</v>
      </c>
      <c r="O13" s="131">
        <v>37.299999999999997</v>
      </c>
      <c r="P13" s="131">
        <v>2.48</v>
      </c>
      <c r="Q13" s="131">
        <v>143</v>
      </c>
      <c r="R13" s="131">
        <v>19.399999999999999</v>
      </c>
      <c r="S13" s="131">
        <v>17</v>
      </c>
      <c r="T13" s="131">
        <v>58</v>
      </c>
      <c r="U13" s="131">
        <v>27.1</v>
      </c>
      <c r="V13" s="131">
        <v>5.5</v>
      </c>
    </row>
    <row r="14" spans="1:22">
      <c r="A14" s="130">
        <f t="shared" si="1"/>
        <v>10</v>
      </c>
      <c r="B14" s="134" t="s">
        <v>178</v>
      </c>
      <c r="C14" s="135">
        <v>240</v>
      </c>
      <c r="D14" s="135">
        <v>120</v>
      </c>
      <c r="E14" s="135">
        <v>6.2</v>
      </c>
      <c r="F14" s="135">
        <v>9.8000000000000007</v>
      </c>
      <c r="G14" s="135">
        <v>15</v>
      </c>
      <c r="H14" s="135">
        <v>39.1</v>
      </c>
      <c r="I14" s="135">
        <v>30.7</v>
      </c>
      <c r="J14" s="135">
        <v>0.92200000000000004</v>
      </c>
      <c r="K14" s="135">
        <v>3892</v>
      </c>
      <c r="L14" s="135">
        <v>324</v>
      </c>
      <c r="M14" s="135">
        <v>9.9700000000000006</v>
      </c>
      <c r="N14" s="135">
        <v>284</v>
      </c>
      <c r="O14" s="135">
        <v>47.3</v>
      </c>
      <c r="P14" s="135">
        <v>2.69</v>
      </c>
      <c r="Q14" s="135">
        <v>183</v>
      </c>
      <c r="R14" s="135">
        <v>21.2</v>
      </c>
      <c r="S14" s="135">
        <v>17</v>
      </c>
      <c r="T14" s="135">
        <v>65</v>
      </c>
      <c r="U14" s="135">
        <v>32.4</v>
      </c>
      <c r="V14" s="135">
        <v>6</v>
      </c>
    </row>
    <row r="15" spans="1:22">
      <c r="A15" s="130">
        <f t="shared" si="1"/>
        <v>11</v>
      </c>
      <c r="B15" s="134" t="s">
        <v>179</v>
      </c>
      <c r="C15" s="135">
        <v>270</v>
      </c>
      <c r="D15" s="135">
        <v>135</v>
      </c>
      <c r="E15" s="135">
        <v>6.6</v>
      </c>
      <c r="F15" s="135">
        <v>10.199999999999999</v>
      </c>
      <c r="G15" s="135">
        <v>15</v>
      </c>
      <c r="H15" s="135">
        <v>45.9</v>
      </c>
      <c r="I15" s="135">
        <v>36.1</v>
      </c>
      <c r="J15" s="135">
        <v>1.0409999999999999</v>
      </c>
      <c r="K15" s="135">
        <v>5790</v>
      </c>
      <c r="L15" s="135">
        <v>429</v>
      </c>
      <c r="M15" s="135">
        <v>11.2</v>
      </c>
      <c r="N15" s="135">
        <v>420</v>
      </c>
      <c r="O15" s="135">
        <v>62.2</v>
      </c>
      <c r="P15" s="135">
        <v>3.02</v>
      </c>
      <c r="Q15" s="135">
        <v>242</v>
      </c>
      <c r="R15" s="135">
        <v>23.9</v>
      </c>
      <c r="S15" s="135">
        <v>21</v>
      </c>
      <c r="T15" s="135">
        <v>72</v>
      </c>
      <c r="U15" s="135">
        <v>37.299999999999997</v>
      </c>
      <c r="V15" s="135">
        <v>6.75</v>
      </c>
    </row>
    <row r="16" spans="1:22" ht="15.75" thickBot="1">
      <c r="A16" s="130">
        <f t="shared" si="1"/>
        <v>12</v>
      </c>
      <c r="B16" s="132" t="s">
        <v>180</v>
      </c>
      <c r="C16" s="133">
        <v>300</v>
      </c>
      <c r="D16" s="133">
        <v>150</v>
      </c>
      <c r="E16" s="133">
        <v>7.1</v>
      </c>
      <c r="F16" s="133">
        <v>10.7</v>
      </c>
      <c r="G16" s="133">
        <v>15</v>
      </c>
      <c r="H16" s="133">
        <v>53.8</v>
      </c>
      <c r="I16" s="133">
        <v>42.2</v>
      </c>
      <c r="J16" s="133">
        <v>1.1599999999999999</v>
      </c>
      <c r="K16" s="133">
        <v>8356</v>
      </c>
      <c r="L16" s="133">
        <v>557</v>
      </c>
      <c r="M16" s="133">
        <v>12.5</v>
      </c>
      <c r="N16" s="133">
        <v>604</v>
      </c>
      <c r="O16" s="133">
        <v>80.5</v>
      </c>
      <c r="P16" s="133">
        <v>3.35</v>
      </c>
      <c r="Q16" s="133">
        <v>314</v>
      </c>
      <c r="R16" s="133">
        <v>26.6</v>
      </c>
      <c r="S16" s="133">
        <v>23</v>
      </c>
      <c r="T16" s="133">
        <v>80</v>
      </c>
      <c r="U16" s="133">
        <v>44</v>
      </c>
      <c r="V16" s="133">
        <v>7.5</v>
      </c>
    </row>
    <row r="17" spans="1:22">
      <c r="A17" s="130">
        <f t="shared" si="1"/>
        <v>13</v>
      </c>
      <c r="B17" s="124" t="s">
        <v>181</v>
      </c>
      <c r="C17" s="131">
        <v>330</v>
      </c>
      <c r="D17" s="131">
        <v>160</v>
      </c>
      <c r="E17" s="131">
        <v>7.5</v>
      </c>
      <c r="F17" s="131">
        <v>11.5</v>
      </c>
      <c r="G17" s="131">
        <v>18</v>
      </c>
      <c r="H17" s="131">
        <v>62.6</v>
      </c>
      <c r="I17" s="131">
        <v>49.1</v>
      </c>
      <c r="J17" s="131">
        <v>1.254</v>
      </c>
      <c r="K17" s="131">
        <v>11770</v>
      </c>
      <c r="L17" s="131">
        <v>713</v>
      </c>
      <c r="M17" s="131">
        <v>13.7</v>
      </c>
      <c r="N17" s="131">
        <v>788</v>
      </c>
      <c r="O17" s="131">
        <v>98.5</v>
      </c>
      <c r="P17" s="131">
        <v>3.55</v>
      </c>
      <c r="Q17" s="131">
        <v>402</v>
      </c>
      <c r="R17" s="131">
        <v>29.3</v>
      </c>
      <c r="S17" s="131">
        <v>25</v>
      </c>
      <c r="T17" s="131">
        <v>85</v>
      </c>
      <c r="U17" s="131">
        <v>51.1</v>
      </c>
      <c r="V17" s="131">
        <v>8</v>
      </c>
    </row>
    <row r="18" spans="1:22">
      <c r="A18" s="130">
        <f t="shared" si="1"/>
        <v>14</v>
      </c>
      <c r="B18" s="134" t="s">
        <v>182</v>
      </c>
      <c r="C18" s="135">
        <v>360</v>
      </c>
      <c r="D18" s="135">
        <v>170</v>
      </c>
      <c r="E18" s="135">
        <v>8</v>
      </c>
      <c r="F18" s="135">
        <v>12.7</v>
      </c>
      <c r="G18" s="135">
        <v>18</v>
      </c>
      <c r="H18" s="135">
        <v>72.7</v>
      </c>
      <c r="I18" s="135">
        <v>57.1</v>
      </c>
      <c r="J18" s="135">
        <v>1.353</v>
      </c>
      <c r="K18" s="135">
        <v>16270</v>
      </c>
      <c r="L18" s="135">
        <v>904</v>
      </c>
      <c r="M18" s="135">
        <v>15</v>
      </c>
      <c r="N18" s="135">
        <v>1043</v>
      </c>
      <c r="O18" s="135">
        <v>123</v>
      </c>
      <c r="P18" s="135">
        <v>3.79</v>
      </c>
      <c r="Q18" s="135">
        <v>510</v>
      </c>
      <c r="R18" s="135">
        <v>31.9</v>
      </c>
      <c r="S18" s="135">
        <v>25</v>
      </c>
      <c r="T18" s="135">
        <v>90</v>
      </c>
      <c r="U18" s="135">
        <v>60</v>
      </c>
      <c r="V18" s="135">
        <v>8.5</v>
      </c>
    </row>
    <row r="19" spans="1:22" ht="15.75" thickBot="1">
      <c r="A19" s="130">
        <f t="shared" si="1"/>
        <v>15</v>
      </c>
      <c r="B19" s="132" t="s">
        <v>183</v>
      </c>
      <c r="C19" s="133">
        <v>400</v>
      </c>
      <c r="D19" s="133">
        <v>180</v>
      </c>
      <c r="E19" s="133">
        <v>8.6</v>
      </c>
      <c r="F19" s="133">
        <v>13.5</v>
      </c>
      <c r="G19" s="133">
        <v>21</v>
      </c>
      <c r="H19" s="133">
        <v>84.5</v>
      </c>
      <c r="I19" s="133">
        <v>66.3</v>
      </c>
      <c r="J19" s="133">
        <v>1.4670000000000001</v>
      </c>
      <c r="K19" s="133">
        <v>23130</v>
      </c>
      <c r="L19" s="133">
        <v>1156</v>
      </c>
      <c r="M19" s="133">
        <v>16.5</v>
      </c>
      <c r="N19" s="133">
        <v>1318</v>
      </c>
      <c r="O19" s="133">
        <v>146</v>
      </c>
      <c r="P19" s="133">
        <v>3.95</v>
      </c>
      <c r="Q19" s="133">
        <v>654</v>
      </c>
      <c r="R19" s="133">
        <v>35.4</v>
      </c>
      <c r="S19" s="133">
        <v>28</v>
      </c>
      <c r="T19" s="133">
        <v>95</v>
      </c>
      <c r="U19" s="133">
        <v>69.400000000000006</v>
      </c>
      <c r="V19" s="133">
        <v>9</v>
      </c>
    </row>
    <row r="20" spans="1:22">
      <c r="A20" s="130">
        <f t="shared" si="1"/>
        <v>16</v>
      </c>
      <c r="B20" s="124" t="s">
        <v>184</v>
      </c>
      <c r="C20" s="131">
        <v>450</v>
      </c>
      <c r="D20" s="131">
        <v>190</v>
      </c>
      <c r="E20" s="131">
        <v>9.4</v>
      </c>
      <c r="F20" s="131">
        <v>14.6</v>
      </c>
      <c r="G20" s="131">
        <v>21</v>
      </c>
      <c r="H20" s="131">
        <v>98.8</v>
      </c>
      <c r="I20" s="131">
        <v>77.599999999999994</v>
      </c>
      <c r="J20" s="131">
        <v>1.61</v>
      </c>
      <c r="K20" s="131">
        <v>33740</v>
      </c>
      <c r="L20" s="131">
        <v>1500</v>
      </c>
      <c r="M20" s="131">
        <v>18.5</v>
      </c>
      <c r="N20" s="131">
        <v>1676</v>
      </c>
      <c r="O20" s="131">
        <v>176</v>
      </c>
      <c r="P20" s="131">
        <v>4.12</v>
      </c>
      <c r="Q20" s="131">
        <v>851</v>
      </c>
      <c r="R20" s="131">
        <v>39.700000000000003</v>
      </c>
      <c r="S20" s="131">
        <v>28</v>
      </c>
      <c r="T20" s="131">
        <v>100</v>
      </c>
      <c r="U20" s="131">
        <v>82.4</v>
      </c>
      <c r="V20" s="131">
        <v>9.5</v>
      </c>
    </row>
    <row r="21" spans="1:22" ht="15.75" thickBot="1">
      <c r="A21" s="130">
        <f t="shared" si="1"/>
        <v>17</v>
      </c>
      <c r="B21" s="132" t="s">
        <v>185</v>
      </c>
      <c r="C21" s="133">
        <v>500</v>
      </c>
      <c r="D21" s="133">
        <v>200</v>
      </c>
      <c r="E21" s="133">
        <v>10.199999999999999</v>
      </c>
      <c r="F21" s="133">
        <v>16</v>
      </c>
      <c r="G21" s="133">
        <v>21</v>
      </c>
      <c r="H21" s="133">
        <v>116</v>
      </c>
      <c r="I21" s="133">
        <v>90.7</v>
      </c>
      <c r="J21" s="133">
        <v>1.744</v>
      </c>
      <c r="K21" s="133">
        <v>48200</v>
      </c>
      <c r="L21" s="133">
        <v>1928</v>
      </c>
      <c r="M21" s="133">
        <v>20.399999999999999</v>
      </c>
      <c r="N21" s="133">
        <v>2142</v>
      </c>
      <c r="O21" s="133">
        <v>214</v>
      </c>
      <c r="P21" s="133">
        <v>4.3099999999999996</v>
      </c>
      <c r="Q21" s="133">
        <v>1097</v>
      </c>
      <c r="R21" s="133">
        <v>43.9</v>
      </c>
      <c r="S21" s="133">
        <v>28</v>
      </c>
      <c r="T21" s="133">
        <v>110</v>
      </c>
      <c r="U21" s="133">
        <v>98.1</v>
      </c>
      <c r="V21" s="133">
        <v>10</v>
      </c>
    </row>
    <row r="22" spans="1:22">
      <c r="A22" s="130">
        <f t="shared" si="1"/>
        <v>18</v>
      </c>
      <c r="B22" s="124" t="s">
        <v>186</v>
      </c>
      <c r="C22" s="131">
        <v>550</v>
      </c>
      <c r="D22" s="131">
        <v>210</v>
      </c>
      <c r="E22" s="131">
        <v>11.1</v>
      </c>
      <c r="F22" s="131">
        <v>17.2</v>
      </c>
      <c r="G22" s="131">
        <v>24</v>
      </c>
      <c r="H22" s="131">
        <v>134</v>
      </c>
      <c r="I22" s="131">
        <v>106</v>
      </c>
      <c r="J22" s="131">
        <v>1.877</v>
      </c>
      <c r="K22" s="131">
        <v>67120</v>
      </c>
      <c r="L22" s="131">
        <v>2441</v>
      </c>
      <c r="M22" s="131">
        <v>22.3</v>
      </c>
      <c r="N22" s="131">
        <v>2668</v>
      </c>
      <c r="O22" s="131">
        <v>254</v>
      </c>
      <c r="P22" s="131">
        <v>4.45</v>
      </c>
      <c r="Q22" s="131">
        <v>1394</v>
      </c>
      <c r="R22" s="131">
        <v>48.2</v>
      </c>
      <c r="S22" s="131">
        <v>28</v>
      </c>
      <c r="T22" s="131">
        <v>115</v>
      </c>
      <c r="U22" s="131">
        <v>114.7</v>
      </c>
      <c r="V22" s="131">
        <v>10.5</v>
      </c>
    </row>
    <row r="23" spans="1:22" ht="15.75" thickBot="1">
      <c r="A23" s="130">
        <f t="shared" si="1"/>
        <v>19</v>
      </c>
      <c r="B23" s="132" t="s">
        <v>187</v>
      </c>
      <c r="C23" s="133">
        <v>600</v>
      </c>
      <c r="D23" s="133">
        <v>220</v>
      </c>
      <c r="E23" s="133">
        <v>12</v>
      </c>
      <c r="F23" s="133">
        <v>19</v>
      </c>
      <c r="G23" s="133">
        <v>24</v>
      </c>
      <c r="H23" s="133">
        <v>156</v>
      </c>
      <c r="I23" s="133">
        <v>122</v>
      </c>
      <c r="J23" s="133">
        <v>2.0150000000000001</v>
      </c>
      <c r="K23" s="133">
        <v>92080</v>
      </c>
      <c r="L23" s="133">
        <v>3069</v>
      </c>
      <c r="M23" s="133">
        <v>24.3</v>
      </c>
      <c r="N23" s="133">
        <v>3387</v>
      </c>
      <c r="O23" s="133">
        <v>308</v>
      </c>
      <c r="P23" s="133">
        <v>4.66</v>
      </c>
      <c r="Q23" s="133">
        <v>1756</v>
      </c>
      <c r="R23" s="133">
        <v>52.4</v>
      </c>
      <c r="S23" s="133">
        <v>28</v>
      </c>
      <c r="T23" s="133">
        <v>120</v>
      </c>
      <c r="U23" s="133">
        <v>134.69999999999999</v>
      </c>
      <c r="V23" s="133">
        <v>11</v>
      </c>
    </row>
    <row r="24" spans="1:22">
      <c r="A24" s="130">
        <f t="shared" si="1"/>
        <v>20</v>
      </c>
      <c r="B24" s="124" t="s">
        <v>188</v>
      </c>
      <c r="C24" s="131">
        <v>96</v>
      </c>
      <c r="D24" s="131">
        <v>100</v>
      </c>
      <c r="E24" s="131">
        <v>5</v>
      </c>
      <c r="F24" s="131">
        <v>8</v>
      </c>
      <c r="G24" s="131">
        <v>12</v>
      </c>
      <c r="H24" s="131">
        <v>21.2</v>
      </c>
      <c r="I24" s="131">
        <v>16.7</v>
      </c>
      <c r="J24" s="131">
        <v>0.56100000000000005</v>
      </c>
      <c r="K24" s="131">
        <v>349</v>
      </c>
      <c r="L24" s="131">
        <v>72.8</v>
      </c>
      <c r="M24" s="131">
        <v>4.0599999999999996</v>
      </c>
      <c r="N24" s="131">
        <v>134</v>
      </c>
      <c r="O24" s="131">
        <v>26.8</v>
      </c>
      <c r="P24" s="131">
        <v>2.5099999999999998</v>
      </c>
      <c r="Q24" s="131">
        <v>41.5</v>
      </c>
      <c r="R24" s="131">
        <v>8.41</v>
      </c>
      <c r="S24" s="131">
        <v>13</v>
      </c>
      <c r="T24" s="131">
        <v>55</v>
      </c>
      <c r="U24" s="131">
        <v>17</v>
      </c>
      <c r="V24" s="131">
        <v>5</v>
      </c>
    </row>
    <row r="25" spans="1:22">
      <c r="A25" s="130">
        <f t="shared" si="1"/>
        <v>21</v>
      </c>
      <c r="B25" s="134" t="s">
        <v>189</v>
      </c>
      <c r="C25" s="135">
        <v>114</v>
      </c>
      <c r="D25" s="135">
        <v>120</v>
      </c>
      <c r="E25" s="135">
        <v>5</v>
      </c>
      <c r="F25" s="135">
        <v>8</v>
      </c>
      <c r="G25" s="135">
        <v>12</v>
      </c>
      <c r="H25" s="135">
        <v>25.3</v>
      </c>
      <c r="I25" s="135">
        <v>19.899999999999999</v>
      </c>
      <c r="J25" s="135">
        <v>0.67700000000000005</v>
      </c>
      <c r="K25" s="135">
        <v>606</v>
      </c>
      <c r="L25" s="135">
        <v>106</v>
      </c>
      <c r="M25" s="135">
        <v>4.8899999999999997</v>
      </c>
      <c r="N25" s="135">
        <v>231</v>
      </c>
      <c r="O25" s="135">
        <v>38.5</v>
      </c>
      <c r="P25" s="135">
        <v>3.02</v>
      </c>
      <c r="Q25" s="135">
        <v>59.7</v>
      </c>
      <c r="R25" s="135">
        <v>10.1</v>
      </c>
      <c r="S25" s="135">
        <v>17</v>
      </c>
      <c r="T25" s="135">
        <v>65</v>
      </c>
      <c r="U25" s="135">
        <v>19.899999999999999</v>
      </c>
      <c r="V25" s="135">
        <v>6</v>
      </c>
    </row>
    <row r="26" spans="1:22">
      <c r="A26" s="130">
        <f t="shared" si="1"/>
        <v>22</v>
      </c>
      <c r="B26" s="134" t="s">
        <v>190</v>
      </c>
      <c r="C26" s="135">
        <v>133</v>
      </c>
      <c r="D26" s="135">
        <v>140</v>
      </c>
      <c r="E26" s="135">
        <v>5.5</v>
      </c>
      <c r="F26" s="135">
        <v>8.5</v>
      </c>
      <c r="G26" s="135">
        <v>12</v>
      </c>
      <c r="H26" s="135">
        <v>31.4</v>
      </c>
      <c r="I26" s="135">
        <v>24.7</v>
      </c>
      <c r="J26" s="135">
        <v>0.79400000000000004</v>
      </c>
      <c r="K26" s="135">
        <v>1033</v>
      </c>
      <c r="L26" s="135">
        <v>155</v>
      </c>
      <c r="M26" s="135">
        <v>5.73</v>
      </c>
      <c r="N26" s="135">
        <v>389</v>
      </c>
      <c r="O26" s="135">
        <v>55.6</v>
      </c>
      <c r="P26" s="135">
        <v>3.52</v>
      </c>
      <c r="Q26" s="135">
        <v>86.7</v>
      </c>
      <c r="R26" s="135">
        <v>11.9</v>
      </c>
      <c r="S26" s="135">
        <v>21</v>
      </c>
      <c r="T26" s="135">
        <v>75</v>
      </c>
      <c r="U26" s="135">
        <v>24.3</v>
      </c>
      <c r="V26" s="135">
        <v>7</v>
      </c>
    </row>
    <row r="27" spans="1:22">
      <c r="A27" s="130">
        <f t="shared" si="1"/>
        <v>23</v>
      </c>
      <c r="B27" s="134" t="s">
        <v>191</v>
      </c>
      <c r="C27" s="135">
        <v>152</v>
      </c>
      <c r="D27" s="135">
        <v>160</v>
      </c>
      <c r="E27" s="135">
        <v>6</v>
      </c>
      <c r="F27" s="135">
        <v>9</v>
      </c>
      <c r="G27" s="135">
        <v>15</v>
      </c>
      <c r="H27" s="135">
        <v>38.799999999999997</v>
      </c>
      <c r="I27" s="135">
        <v>30.4</v>
      </c>
      <c r="J27" s="135">
        <v>0.90600000000000003</v>
      </c>
      <c r="K27" s="135">
        <v>1673</v>
      </c>
      <c r="L27" s="135">
        <v>220</v>
      </c>
      <c r="M27" s="135">
        <v>6.57</v>
      </c>
      <c r="N27" s="135">
        <v>616</v>
      </c>
      <c r="O27" s="135">
        <v>76.900000000000006</v>
      </c>
      <c r="P27" s="135">
        <v>3.98</v>
      </c>
      <c r="Q27" s="135">
        <v>123</v>
      </c>
      <c r="R27" s="135">
        <v>13.6</v>
      </c>
      <c r="S27" s="135">
        <v>23</v>
      </c>
      <c r="T27" s="135">
        <v>85</v>
      </c>
      <c r="U27" s="135">
        <v>30.5</v>
      </c>
      <c r="V27" s="135">
        <v>8</v>
      </c>
    </row>
    <row r="28" spans="1:22">
      <c r="A28" s="130">
        <f t="shared" si="1"/>
        <v>24</v>
      </c>
      <c r="B28" s="134" t="s">
        <v>192</v>
      </c>
      <c r="C28" s="135">
        <v>171</v>
      </c>
      <c r="D28" s="135">
        <v>180</v>
      </c>
      <c r="E28" s="135">
        <v>6</v>
      </c>
      <c r="F28" s="135">
        <v>9.5</v>
      </c>
      <c r="G28" s="135">
        <v>15</v>
      </c>
      <c r="H28" s="135">
        <v>45.3</v>
      </c>
      <c r="I28" s="135">
        <v>35.5</v>
      </c>
      <c r="J28" s="135">
        <v>1.02</v>
      </c>
      <c r="K28" s="135">
        <v>2510</v>
      </c>
      <c r="L28" s="135">
        <v>294</v>
      </c>
      <c r="M28" s="135">
        <v>7.45</v>
      </c>
      <c r="N28" s="135">
        <v>925</v>
      </c>
      <c r="O28" s="135">
        <v>103</v>
      </c>
      <c r="P28" s="135">
        <v>4.5199999999999996</v>
      </c>
      <c r="Q28" s="135">
        <v>162</v>
      </c>
      <c r="R28" s="135">
        <v>15.5</v>
      </c>
      <c r="S28" s="135">
        <v>25</v>
      </c>
      <c r="T28" s="135">
        <v>100</v>
      </c>
      <c r="U28" s="135">
        <v>35.799999999999997</v>
      </c>
      <c r="V28" s="135">
        <v>9</v>
      </c>
    </row>
    <row r="29" spans="1:22" ht="15.75" thickBot="1">
      <c r="A29" s="130">
        <f t="shared" si="1"/>
        <v>25</v>
      </c>
      <c r="B29" s="132" t="s">
        <v>193</v>
      </c>
      <c r="C29" s="133">
        <v>190</v>
      </c>
      <c r="D29" s="133">
        <v>200</v>
      </c>
      <c r="E29" s="133">
        <v>6.5</v>
      </c>
      <c r="F29" s="133">
        <v>10</v>
      </c>
      <c r="G29" s="133">
        <v>18</v>
      </c>
      <c r="H29" s="133">
        <v>53.8</v>
      </c>
      <c r="I29" s="133">
        <v>42.3</v>
      </c>
      <c r="J29" s="133">
        <v>1.1399999999999999</v>
      </c>
      <c r="K29" s="133">
        <v>3692</v>
      </c>
      <c r="L29" s="133">
        <v>389</v>
      </c>
      <c r="M29" s="133">
        <v>8.2799999999999994</v>
      </c>
      <c r="N29" s="133">
        <v>1336</v>
      </c>
      <c r="O29" s="133">
        <v>134</v>
      </c>
      <c r="P29" s="133">
        <v>4.9800000000000004</v>
      </c>
      <c r="Q29" s="133">
        <v>215</v>
      </c>
      <c r="R29" s="133">
        <v>17.2</v>
      </c>
      <c r="S29" s="133">
        <v>25</v>
      </c>
      <c r="T29" s="133">
        <v>110</v>
      </c>
      <c r="U29" s="133">
        <v>43.8</v>
      </c>
      <c r="V29" s="133">
        <v>10</v>
      </c>
    </row>
    <row r="30" spans="1:22">
      <c r="A30" s="130">
        <f t="shared" si="1"/>
        <v>26</v>
      </c>
      <c r="B30" s="124" t="s">
        <v>194</v>
      </c>
      <c r="C30" s="131">
        <v>210</v>
      </c>
      <c r="D30" s="131">
        <v>220</v>
      </c>
      <c r="E30" s="131">
        <v>7</v>
      </c>
      <c r="F30" s="131">
        <v>11</v>
      </c>
      <c r="G30" s="131">
        <v>18</v>
      </c>
      <c r="H30" s="131">
        <v>64.3</v>
      </c>
      <c r="I30" s="131">
        <v>50.5</v>
      </c>
      <c r="J30" s="131">
        <v>1.26</v>
      </c>
      <c r="K30" s="131">
        <v>5410</v>
      </c>
      <c r="L30" s="131">
        <v>515</v>
      </c>
      <c r="M30" s="131">
        <v>9.17</v>
      </c>
      <c r="N30" s="131">
        <v>1955</v>
      </c>
      <c r="O30" s="131">
        <v>178</v>
      </c>
      <c r="P30" s="131">
        <v>5.51</v>
      </c>
      <c r="Q30" s="131">
        <v>284</v>
      </c>
      <c r="R30" s="131">
        <v>19</v>
      </c>
      <c r="S30" s="131">
        <v>25</v>
      </c>
      <c r="T30" s="131">
        <v>120</v>
      </c>
      <c r="U30" s="131">
        <v>53.3</v>
      </c>
      <c r="V30" s="131">
        <v>11</v>
      </c>
    </row>
    <row r="31" spans="1:22">
      <c r="A31" s="130">
        <f t="shared" si="1"/>
        <v>27</v>
      </c>
      <c r="B31" s="134" t="s">
        <v>195</v>
      </c>
      <c r="C31" s="135">
        <v>230</v>
      </c>
      <c r="D31" s="135">
        <v>240</v>
      </c>
      <c r="E31" s="135">
        <v>7.5</v>
      </c>
      <c r="F31" s="135">
        <v>12</v>
      </c>
      <c r="G31" s="135">
        <v>21</v>
      </c>
      <c r="H31" s="135">
        <v>76.8</v>
      </c>
      <c r="I31" s="135">
        <v>60.3</v>
      </c>
      <c r="J31" s="135">
        <v>1.37</v>
      </c>
      <c r="K31" s="135">
        <v>7763</v>
      </c>
      <c r="L31" s="135">
        <v>675</v>
      </c>
      <c r="M31" s="135">
        <v>10.1</v>
      </c>
      <c r="N31" s="135">
        <v>2769</v>
      </c>
      <c r="O31" s="135">
        <v>231</v>
      </c>
      <c r="P31" s="135">
        <v>6</v>
      </c>
      <c r="Q31" s="135">
        <v>372</v>
      </c>
      <c r="R31" s="135">
        <v>20.9</v>
      </c>
      <c r="S31" s="135">
        <v>25</v>
      </c>
      <c r="T31" s="135">
        <v>90</v>
      </c>
      <c r="U31" s="135">
        <v>64.8</v>
      </c>
      <c r="V31" s="135">
        <v>12</v>
      </c>
    </row>
    <row r="32" spans="1:22">
      <c r="A32" s="130">
        <f t="shared" si="1"/>
        <v>28</v>
      </c>
      <c r="B32" s="134" t="s">
        <v>196</v>
      </c>
      <c r="C32" s="135">
        <v>250</v>
      </c>
      <c r="D32" s="135">
        <v>260</v>
      </c>
      <c r="E32" s="135">
        <v>7.5</v>
      </c>
      <c r="F32" s="135">
        <v>12.5</v>
      </c>
      <c r="G32" s="135">
        <v>24</v>
      </c>
      <c r="H32" s="135">
        <v>86.8</v>
      </c>
      <c r="I32" s="135">
        <v>68.2</v>
      </c>
      <c r="J32" s="135">
        <v>1.48</v>
      </c>
      <c r="K32" s="135">
        <v>10450</v>
      </c>
      <c r="L32" s="135">
        <v>836</v>
      </c>
      <c r="M32" s="135">
        <v>11</v>
      </c>
      <c r="N32" s="135">
        <v>3668</v>
      </c>
      <c r="O32" s="135">
        <v>282</v>
      </c>
      <c r="P32" s="135">
        <v>6.5</v>
      </c>
      <c r="Q32" s="135">
        <v>460</v>
      </c>
      <c r="R32" s="135">
        <v>22.7</v>
      </c>
      <c r="S32" s="135">
        <v>25</v>
      </c>
      <c r="T32" s="135">
        <v>100</v>
      </c>
      <c r="U32" s="135">
        <v>74.3</v>
      </c>
      <c r="V32" s="135">
        <v>13</v>
      </c>
    </row>
    <row r="33" spans="1:22">
      <c r="A33" s="130">
        <f t="shared" si="1"/>
        <v>29</v>
      </c>
      <c r="B33" s="134" t="s">
        <v>197</v>
      </c>
      <c r="C33" s="135">
        <v>270</v>
      </c>
      <c r="D33" s="135">
        <v>280</v>
      </c>
      <c r="E33" s="135">
        <v>8</v>
      </c>
      <c r="F33" s="135">
        <v>13</v>
      </c>
      <c r="G33" s="135">
        <v>24</v>
      </c>
      <c r="H33" s="135">
        <v>97.3</v>
      </c>
      <c r="I33" s="135">
        <v>76.400000000000006</v>
      </c>
      <c r="J33" s="135">
        <v>1.6</v>
      </c>
      <c r="K33" s="135">
        <v>13670</v>
      </c>
      <c r="L33" s="135">
        <v>1013</v>
      </c>
      <c r="M33" s="135">
        <v>11.9</v>
      </c>
      <c r="N33" s="135">
        <v>4763</v>
      </c>
      <c r="O33" s="135">
        <v>340</v>
      </c>
      <c r="P33" s="135">
        <v>7</v>
      </c>
      <c r="Q33" s="135">
        <v>556</v>
      </c>
      <c r="R33" s="135">
        <v>24.6</v>
      </c>
      <c r="S33" s="135">
        <v>25</v>
      </c>
      <c r="T33" s="135">
        <v>110</v>
      </c>
      <c r="U33" s="135">
        <v>84.3</v>
      </c>
      <c r="V33" s="135">
        <v>14</v>
      </c>
    </row>
    <row r="34" spans="1:22" ht="15.75" thickBot="1">
      <c r="A34" s="130">
        <f t="shared" si="1"/>
        <v>30</v>
      </c>
      <c r="B34" s="132" t="s">
        <v>198</v>
      </c>
      <c r="C34" s="133">
        <v>290</v>
      </c>
      <c r="D34" s="133">
        <v>300</v>
      </c>
      <c r="E34" s="133">
        <v>8.5</v>
      </c>
      <c r="F34" s="133">
        <v>14</v>
      </c>
      <c r="G34" s="133">
        <v>27</v>
      </c>
      <c r="H34" s="133">
        <v>113</v>
      </c>
      <c r="I34" s="133">
        <v>88.3</v>
      </c>
      <c r="J34" s="133">
        <v>1.72</v>
      </c>
      <c r="K34" s="133">
        <v>18260</v>
      </c>
      <c r="L34" s="133">
        <v>1260</v>
      </c>
      <c r="M34" s="133">
        <v>12.7</v>
      </c>
      <c r="N34" s="133">
        <v>6310</v>
      </c>
      <c r="O34" s="133">
        <v>421</v>
      </c>
      <c r="P34" s="133">
        <v>7.49</v>
      </c>
      <c r="Q34" s="133">
        <v>692</v>
      </c>
      <c r="R34" s="133">
        <v>26.4</v>
      </c>
      <c r="S34" s="133">
        <v>25</v>
      </c>
      <c r="T34" s="133">
        <v>120</v>
      </c>
      <c r="U34" s="133">
        <v>98</v>
      </c>
      <c r="V34" s="133">
        <v>15</v>
      </c>
    </row>
    <row r="35" spans="1:22">
      <c r="A35" s="130">
        <f t="shared" si="1"/>
        <v>31</v>
      </c>
      <c r="B35" s="124" t="s">
        <v>199</v>
      </c>
      <c r="C35" s="131">
        <v>310</v>
      </c>
      <c r="D35" s="131">
        <v>300</v>
      </c>
      <c r="E35" s="131">
        <v>9</v>
      </c>
      <c r="F35" s="131">
        <v>15.5</v>
      </c>
      <c r="G35" s="131">
        <v>27</v>
      </c>
      <c r="H35" s="131">
        <v>124</v>
      </c>
      <c r="I35" s="131">
        <v>97.6</v>
      </c>
      <c r="J35" s="131">
        <v>1.76</v>
      </c>
      <c r="K35" s="131">
        <v>22930</v>
      </c>
      <c r="L35" s="131">
        <v>1479</v>
      </c>
      <c r="M35" s="131">
        <v>13.6</v>
      </c>
      <c r="N35" s="131">
        <v>6985</v>
      </c>
      <c r="O35" s="131">
        <v>466</v>
      </c>
      <c r="P35" s="131">
        <v>7.49</v>
      </c>
      <c r="Q35" s="131">
        <v>814</v>
      </c>
      <c r="R35" s="131">
        <v>28.2</v>
      </c>
      <c r="S35" s="131">
        <v>25</v>
      </c>
      <c r="T35" s="131">
        <v>120</v>
      </c>
      <c r="U35" s="131">
        <v>108.5</v>
      </c>
      <c r="V35" s="131">
        <v>15</v>
      </c>
    </row>
    <row r="36" spans="1:22">
      <c r="A36" s="130">
        <f t="shared" si="1"/>
        <v>32</v>
      </c>
      <c r="B36" s="134" t="s">
        <v>200</v>
      </c>
      <c r="C36" s="135">
        <v>330</v>
      </c>
      <c r="D36" s="135">
        <v>300</v>
      </c>
      <c r="E36" s="135">
        <v>9.5</v>
      </c>
      <c r="F36" s="135">
        <v>16.5</v>
      </c>
      <c r="G36" s="135">
        <v>27</v>
      </c>
      <c r="H36" s="135">
        <v>133</v>
      </c>
      <c r="I36" s="135">
        <v>105</v>
      </c>
      <c r="J36" s="135">
        <v>1.79</v>
      </c>
      <c r="K36" s="135">
        <v>27690</v>
      </c>
      <c r="L36" s="135">
        <v>1678</v>
      </c>
      <c r="M36" s="135">
        <v>14.4</v>
      </c>
      <c r="N36" s="135">
        <v>7436</v>
      </c>
      <c r="O36" s="135">
        <v>496</v>
      </c>
      <c r="P36" s="135">
        <v>7.46</v>
      </c>
      <c r="Q36" s="135">
        <v>925</v>
      </c>
      <c r="R36" s="135">
        <v>29.9</v>
      </c>
      <c r="S36" s="135">
        <v>25</v>
      </c>
      <c r="T36" s="135">
        <v>120</v>
      </c>
      <c r="U36" s="135">
        <v>116.5</v>
      </c>
      <c r="V36" s="135">
        <v>15</v>
      </c>
    </row>
    <row r="37" spans="1:22">
      <c r="A37" s="130">
        <f t="shared" si="1"/>
        <v>33</v>
      </c>
      <c r="B37" s="134" t="s">
        <v>201</v>
      </c>
      <c r="C37" s="135">
        <v>350</v>
      </c>
      <c r="D37" s="135">
        <v>300</v>
      </c>
      <c r="E37" s="135">
        <v>10</v>
      </c>
      <c r="F37" s="135">
        <v>17.5</v>
      </c>
      <c r="G37" s="135">
        <v>27</v>
      </c>
      <c r="H37" s="135">
        <v>143</v>
      </c>
      <c r="I37" s="135">
        <v>112</v>
      </c>
      <c r="J37" s="135">
        <v>1.83</v>
      </c>
      <c r="K37" s="135">
        <v>33090</v>
      </c>
      <c r="L37" s="135">
        <v>1891</v>
      </c>
      <c r="M37" s="135">
        <v>15.2</v>
      </c>
      <c r="N37" s="135">
        <v>7887</v>
      </c>
      <c r="O37" s="135">
        <v>526</v>
      </c>
      <c r="P37" s="135">
        <v>7.43</v>
      </c>
      <c r="Q37" s="135">
        <v>1044</v>
      </c>
      <c r="R37" s="135">
        <v>31.7</v>
      </c>
      <c r="S37" s="135">
        <v>25</v>
      </c>
      <c r="T37" s="135">
        <v>120</v>
      </c>
      <c r="U37" s="135">
        <v>125.5</v>
      </c>
      <c r="V37" s="135">
        <v>15</v>
      </c>
    </row>
    <row r="38" spans="1:22" ht="15.75" thickBot="1">
      <c r="A38" s="130">
        <f t="shared" si="1"/>
        <v>34</v>
      </c>
      <c r="B38" s="132" t="s">
        <v>202</v>
      </c>
      <c r="C38" s="133">
        <v>390</v>
      </c>
      <c r="D38" s="133">
        <v>300</v>
      </c>
      <c r="E38" s="133">
        <v>11</v>
      </c>
      <c r="F38" s="133">
        <v>19</v>
      </c>
      <c r="G38" s="133">
        <v>27</v>
      </c>
      <c r="H38" s="133">
        <v>159</v>
      </c>
      <c r="I38" s="133">
        <v>125</v>
      </c>
      <c r="J38" s="133">
        <v>1.91</v>
      </c>
      <c r="K38" s="133">
        <v>45070</v>
      </c>
      <c r="L38" s="133">
        <v>2311</v>
      </c>
      <c r="M38" s="133">
        <v>16.8</v>
      </c>
      <c r="N38" s="133">
        <v>8564</v>
      </c>
      <c r="O38" s="133">
        <v>571</v>
      </c>
      <c r="P38" s="133">
        <v>7.34</v>
      </c>
      <c r="Q38" s="133">
        <v>1281</v>
      </c>
      <c r="R38" s="133">
        <v>35.200000000000003</v>
      </c>
      <c r="S38" s="133">
        <v>25</v>
      </c>
      <c r="T38" s="133">
        <v>120</v>
      </c>
      <c r="U38" s="133">
        <v>140</v>
      </c>
      <c r="V38" s="133">
        <v>15</v>
      </c>
    </row>
    <row r="39" spans="1:22">
      <c r="A39" s="130">
        <f t="shared" si="1"/>
        <v>35</v>
      </c>
      <c r="B39" s="124" t="s">
        <v>203</v>
      </c>
      <c r="C39" s="131">
        <v>440</v>
      </c>
      <c r="D39" s="131">
        <v>300</v>
      </c>
      <c r="E39" s="131">
        <v>11.5</v>
      </c>
      <c r="F39" s="131">
        <v>21</v>
      </c>
      <c r="G39" s="131">
        <v>27</v>
      </c>
      <c r="H39" s="131">
        <v>178</v>
      </c>
      <c r="I39" s="131">
        <v>140</v>
      </c>
      <c r="J39" s="131">
        <v>2.0099999999999998</v>
      </c>
      <c r="K39" s="131">
        <v>63720</v>
      </c>
      <c r="L39" s="131">
        <v>2896</v>
      </c>
      <c r="M39" s="131">
        <v>18.899999999999999</v>
      </c>
      <c r="N39" s="131">
        <v>9465</v>
      </c>
      <c r="O39" s="131">
        <v>631</v>
      </c>
      <c r="P39" s="131">
        <v>7.29</v>
      </c>
      <c r="Q39" s="131">
        <v>1608</v>
      </c>
      <c r="R39" s="131">
        <v>39.6</v>
      </c>
      <c r="S39" s="131">
        <v>25</v>
      </c>
      <c r="T39" s="131">
        <v>120</v>
      </c>
      <c r="U39" s="131">
        <v>157</v>
      </c>
      <c r="V39" s="131">
        <v>15</v>
      </c>
    </row>
    <row r="40" spans="1:22">
      <c r="A40" s="130">
        <f t="shared" si="1"/>
        <v>36</v>
      </c>
      <c r="B40" s="134" t="s">
        <v>204</v>
      </c>
      <c r="C40" s="135">
        <v>490</v>
      </c>
      <c r="D40" s="135">
        <v>300</v>
      </c>
      <c r="E40" s="135">
        <v>12</v>
      </c>
      <c r="F40" s="135">
        <v>23</v>
      </c>
      <c r="G40" s="135">
        <v>27</v>
      </c>
      <c r="H40" s="135">
        <v>198</v>
      </c>
      <c r="I40" s="135">
        <v>155</v>
      </c>
      <c r="J40" s="135">
        <v>2.11</v>
      </c>
      <c r="K40" s="135">
        <v>86970</v>
      </c>
      <c r="L40" s="135">
        <v>3550</v>
      </c>
      <c r="M40" s="135">
        <v>21</v>
      </c>
      <c r="N40" s="135">
        <v>10370</v>
      </c>
      <c r="O40" s="135">
        <v>691</v>
      </c>
      <c r="P40" s="135">
        <v>7.24</v>
      </c>
      <c r="Q40" s="135">
        <v>1974</v>
      </c>
      <c r="R40" s="135">
        <v>44.1</v>
      </c>
      <c r="S40" s="135">
        <v>28</v>
      </c>
      <c r="T40" s="135">
        <v>120</v>
      </c>
      <c r="U40" s="135">
        <v>171.2</v>
      </c>
      <c r="V40" s="135">
        <v>15</v>
      </c>
    </row>
    <row r="41" spans="1:22">
      <c r="A41" s="130">
        <f t="shared" si="1"/>
        <v>37</v>
      </c>
      <c r="B41" s="134" t="s">
        <v>205</v>
      </c>
      <c r="C41" s="135">
        <v>540</v>
      </c>
      <c r="D41" s="135">
        <v>300</v>
      </c>
      <c r="E41" s="135">
        <v>12.5</v>
      </c>
      <c r="F41" s="135">
        <v>24</v>
      </c>
      <c r="G41" s="135">
        <v>27</v>
      </c>
      <c r="H41" s="135">
        <v>212</v>
      </c>
      <c r="I41" s="135">
        <v>166</v>
      </c>
      <c r="J41" s="135">
        <v>2.21</v>
      </c>
      <c r="K41" s="135">
        <v>111930</v>
      </c>
      <c r="L41" s="135">
        <v>4146</v>
      </c>
      <c r="M41" s="135">
        <v>23</v>
      </c>
      <c r="N41" s="135">
        <v>10820</v>
      </c>
      <c r="O41" s="135">
        <v>721</v>
      </c>
      <c r="P41" s="135">
        <v>7.15</v>
      </c>
      <c r="Q41" s="135">
        <v>2311</v>
      </c>
      <c r="R41" s="135">
        <v>48.4</v>
      </c>
      <c r="S41" s="135">
        <v>28</v>
      </c>
      <c r="T41" s="135">
        <v>120</v>
      </c>
      <c r="U41" s="135">
        <v>185.1</v>
      </c>
      <c r="V41" s="135">
        <v>15</v>
      </c>
    </row>
    <row r="42" spans="1:22" ht="15.75" thickBot="1">
      <c r="A42" s="130">
        <f t="shared" si="1"/>
        <v>38</v>
      </c>
      <c r="B42" s="132" t="s">
        <v>206</v>
      </c>
      <c r="C42" s="133">
        <v>590</v>
      </c>
      <c r="D42" s="133">
        <v>300</v>
      </c>
      <c r="E42" s="133">
        <v>13</v>
      </c>
      <c r="F42" s="133">
        <v>25</v>
      </c>
      <c r="G42" s="133">
        <v>27</v>
      </c>
      <c r="H42" s="133">
        <v>226</v>
      </c>
      <c r="I42" s="133">
        <v>178</v>
      </c>
      <c r="J42" s="133">
        <v>2.31</v>
      </c>
      <c r="K42" s="133">
        <v>141210</v>
      </c>
      <c r="L42" s="133">
        <v>4787</v>
      </c>
      <c r="M42" s="133">
        <v>25</v>
      </c>
      <c r="N42" s="133">
        <v>11270</v>
      </c>
      <c r="O42" s="133">
        <v>751</v>
      </c>
      <c r="P42" s="133">
        <v>7.05</v>
      </c>
      <c r="Q42" s="133">
        <v>2675</v>
      </c>
      <c r="R42" s="133">
        <v>52.8</v>
      </c>
      <c r="S42" s="133">
        <v>28</v>
      </c>
      <c r="T42" s="133">
        <v>120</v>
      </c>
      <c r="U42" s="133">
        <v>198</v>
      </c>
      <c r="V42" s="133">
        <v>15</v>
      </c>
    </row>
    <row r="43" spans="1:22">
      <c r="A43" s="130">
        <f t="shared" si="1"/>
        <v>39</v>
      </c>
      <c r="B43" s="124" t="s">
        <v>207</v>
      </c>
      <c r="C43" s="131">
        <v>640</v>
      </c>
      <c r="D43" s="131">
        <v>300</v>
      </c>
      <c r="E43" s="131">
        <v>13.5</v>
      </c>
      <c r="F43" s="131">
        <v>26</v>
      </c>
      <c r="G43" s="131">
        <v>27</v>
      </c>
      <c r="H43" s="131">
        <v>242</v>
      </c>
      <c r="I43" s="131">
        <v>190</v>
      </c>
      <c r="J43" s="131">
        <v>2.41</v>
      </c>
      <c r="K43" s="131">
        <v>175200</v>
      </c>
      <c r="L43" s="131">
        <v>5474</v>
      </c>
      <c r="M43" s="131">
        <v>26.9</v>
      </c>
      <c r="N43" s="131">
        <v>11720</v>
      </c>
      <c r="O43" s="131">
        <v>782</v>
      </c>
      <c r="P43" s="131">
        <v>6.97</v>
      </c>
      <c r="Q43" s="131">
        <v>3068</v>
      </c>
      <c r="R43" s="131">
        <v>57.1</v>
      </c>
      <c r="S43" s="131">
        <v>28</v>
      </c>
      <c r="T43" s="131">
        <v>120</v>
      </c>
      <c r="U43" s="131">
        <v>212.9</v>
      </c>
      <c r="V43" s="131">
        <v>15</v>
      </c>
    </row>
    <row r="44" spans="1:22">
      <c r="A44" s="130">
        <f t="shared" si="1"/>
        <v>40</v>
      </c>
      <c r="B44" s="134" t="s">
        <v>208</v>
      </c>
      <c r="C44" s="135">
        <v>690</v>
      </c>
      <c r="D44" s="135">
        <v>300</v>
      </c>
      <c r="E44" s="135">
        <v>14.5</v>
      </c>
      <c r="F44" s="135">
        <v>27</v>
      </c>
      <c r="G44" s="135">
        <v>27</v>
      </c>
      <c r="H44" s="135">
        <v>260</v>
      </c>
      <c r="I44" s="135">
        <v>204</v>
      </c>
      <c r="J44" s="135">
        <v>2.5</v>
      </c>
      <c r="K44" s="135">
        <v>215300</v>
      </c>
      <c r="L44" s="135">
        <v>6241</v>
      </c>
      <c r="M44" s="135">
        <v>28.8</v>
      </c>
      <c r="N44" s="135">
        <v>12180</v>
      </c>
      <c r="O44" s="135">
        <v>812</v>
      </c>
      <c r="P44" s="135">
        <v>6.84</v>
      </c>
      <c r="Q44" s="135">
        <v>3516</v>
      </c>
      <c r="R44" s="135">
        <v>61.2</v>
      </c>
      <c r="S44" s="135">
        <v>28</v>
      </c>
      <c r="T44" s="135">
        <v>120</v>
      </c>
      <c r="U44" s="135">
        <v>229.8</v>
      </c>
      <c r="V44" s="135">
        <v>15</v>
      </c>
    </row>
    <row r="45" spans="1:22" ht="15.75" thickBot="1">
      <c r="A45" s="130">
        <f t="shared" si="1"/>
        <v>41</v>
      </c>
      <c r="B45" s="132" t="s">
        <v>209</v>
      </c>
      <c r="C45" s="133">
        <v>790</v>
      </c>
      <c r="D45" s="133">
        <v>300</v>
      </c>
      <c r="E45" s="133">
        <v>15</v>
      </c>
      <c r="F45" s="133">
        <v>28</v>
      </c>
      <c r="G45" s="133">
        <v>30</v>
      </c>
      <c r="H45" s="133">
        <v>286</v>
      </c>
      <c r="I45" s="133">
        <v>224</v>
      </c>
      <c r="J45" s="133">
        <v>2.7</v>
      </c>
      <c r="K45" s="133">
        <v>303400</v>
      </c>
      <c r="L45" s="133">
        <v>7682</v>
      </c>
      <c r="M45" s="133">
        <v>32.6</v>
      </c>
      <c r="N45" s="133">
        <v>12640</v>
      </c>
      <c r="O45" s="133">
        <v>843</v>
      </c>
      <c r="P45" s="133">
        <v>6.65</v>
      </c>
      <c r="Q45" s="133">
        <v>4349.5</v>
      </c>
      <c r="R45" s="133">
        <v>69.8</v>
      </c>
      <c r="S45" s="133">
        <v>28</v>
      </c>
      <c r="T45" s="133">
        <v>120</v>
      </c>
      <c r="U45" s="133">
        <v>254.6</v>
      </c>
      <c r="V45" s="133">
        <v>15</v>
      </c>
    </row>
    <row r="46" spans="1:22">
      <c r="A46" s="130">
        <f t="shared" si="1"/>
        <v>42</v>
      </c>
      <c r="B46" s="124" t="s">
        <v>210</v>
      </c>
      <c r="C46" s="131">
        <v>890</v>
      </c>
      <c r="D46" s="131">
        <v>300</v>
      </c>
      <c r="E46" s="131">
        <v>16</v>
      </c>
      <c r="F46" s="131">
        <v>30</v>
      </c>
      <c r="G46" s="131">
        <v>30</v>
      </c>
      <c r="H46" s="131">
        <v>321</v>
      </c>
      <c r="I46" s="131">
        <v>252</v>
      </c>
      <c r="J46" s="131">
        <v>2.9</v>
      </c>
      <c r="K46" s="131">
        <v>422100</v>
      </c>
      <c r="L46" s="131">
        <v>9485</v>
      </c>
      <c r="M46" s="131">
        <v>36.299999999999997</v>
      </c>
      <c r="N46" s="131">
        <v>13550</v>
      </c>
      <c r="O46" s="131">
        <v>903</v>
      </c>
      <c r="P46" s="131">
        <v>6.5</v>
      </c>
      <c r="Q46" s="131">
        <v>5405</v>
      </c>
      <c r="R46" s="131">
        <v>78.099999999999994</v>
      </c>
      <c r="S46" s="131">
        <v>28</v>
      </c>
      <c r="T46" s="131">
        <v>120</v>
      </c>
      <c r="U46" s="131">
        <v>287.39999999999998</v>
      </c>
      <c r="V46" s="131">
        <v>15</v>
      </c>
    </row>
    <row r="47" spans="1:22" ht="15.75" thickBot="1">
      <c r="A47" s="130">
        <f t="shared" si="1"/>
        <v>43</v>
      </c>
      <c r="B47" s="136" t="s">
        <v>211</v>
      </c>
      <c r="C47" s="133">
        <v>990</v>
      </c>
      <c r="D47" s="133">
        <v>300</v>
      </c>
      <c r="E47" s="133">
        <v>16.5</v>
      </c>
      <c r="F47" s="133">
        <v>31</v>
      </c>
      <c r="G47" s="133">
        <v>30</v>
      </c>
      <c r="H47" s="133">
        <v>347</v>
      </c>
      <c r="I47" s="133">
        <v>272</v>
      </c>
      <c r="J47" s="133">
        <v>3.1</v>
      </c>
      <c r="K47" s="133">
        <v>553800</v>
      </c>
      <c r="L47" s="133">
        <v>11190</v>
      </c>
      <c r="M47" s="133">
        <v>40</v>
      </c>
      <c r="N47" s="133">
        <v>14000</v>
      </c>
      <c r="O47" s="133">
        <v>934</v>
      </c>
      <c r="P47" s="133">
        <v>6.35</v>
      </c>
      <c r="Q47" s="133">
        <v>6410</v>
      </c>
      <c r="R47" s="133">
        <v>86.4</v>
      </c>
      <c r="S47" s="133">
        <v>28</v>
      </c>
      <c r="T47" s="133">
        <v>120</v>
      </c>
      <c r="U47" s="133">
        <v>312.3</v>
      </c>
      <c r="V47" s="133">
        <v>15</v>
      </c>
    </row>
    <row r="48" spans="1:22">
      <c r="A48" s="130">
        <f t="shared" si="1"/>
        <v>44</v>
      </c>
      <c r="B48" s="124" t="s">
        <v>212</v>
      </c>
      <c r="C48" s="131">
        <v>100</v>
      </c>
      <c r="D48" s="131">
        <v>100</v>
      </c>
      <c r="E48" s="131">
        <v>6</v>
      </c>
      <c r="F48" s="131">
        <v>10</v>
      </c>
      <c r="G48" s="131">
        <v>12</v>
      </c>
      <c r="H48" s="131">
        <v>26</v>
      </c>
      <c r="I48" s="131">
        <v>20.399999999999999</v>
      </c>
      <c r="J48" s="131">
        <v>0.56699999999999995</v>
      </c>
      <c r="K48" s="131">
        <v>450</v>
      </c>
      <c r="L48" s="131">
        <v>89.9</v>
      </c>
      <c r="M48" s="131">
        <v>4.16</v>
      </c>
      <c r="N48" s="131">
        <v>167</v>
      </c>
      <c r="O48" s="131">
        <v>33.5</v>
      </c>
      <c r="P48" s="131">
        <v>2.5299999999999998</v>
      </c>
      <c r="Q48" s="131">
        <v>52.1</v>
      </c>
      <c r="R48" s="131">
        <v>8.6300000000000008</v>
      </c>
      <c r="S48" s="131">
        <v>13</v>
      </c>
      <c r="T48" s="131">
        <v>55</v>
      </c>
      <c r="U48" s="131">
        <v>20.8</v>
      </c>
      <c r="V48" s="131">
        <v>5</v>
      </c>
    </row>
    <row r="49" spans="1:22">
      <c r="A49" s="130">
        <f t="shared" si="1"/>
        <v>45</v>
      </c>
      <c r="B49" s="134" t="s">
        <v>213</v>
      </c>
      <c r="C49" s="135">
        <v>120</v>
      </c>
      <c r="D49" s="135">
        <v>120</v>
      </c>
      <c r="E49" s="135">
        <v>6.5</v>
      </c>
      <c r="F49" s="135">
        <v>11</v>
      </c>
      <c r="G49" s="135">
        <v>12</v>
      </c>
      <c r="H49" s="135">
        <v>34</v>
      </c>
      <c r="I49" s="135">
        <v>26.7</v>
      </c>
      <c r="J49" s="135">
        <v>0.68600000000000005</v>
      </c>
      <c r="K49" s="135">
        <v>864</v>
      </c>
      <c r="L49" s="135">
        <v>144</v>
      </c>
      <c r="M49" s="135">
        <v>5.04</v>
      </c>
      <c r="N49" s="135">
        <v>318</v>
      </c>
      <c r="O49" s="135">
        <v>52.9</v>
      </c>
      <c r="P49" s="135">
        <v>3.06</v>
      </c>
      <c r="Q49" s="135">
        <v>82.6</v>
      </c>
      <c r="R49" s="135">
        <v>10.5</v>
      </c>
      <c r="S49" s="135">
        <v>17</v>
      </c>
      <c r="T49" s="135">
        <v>65</v>
      </c>
      <c r="U49" s="135">
        <v>26.5</v>
      </c>
      <c r="V49" s="135">
        <v>6</v>
      </c>
    </row>
    <row r="50" spans="1:22">
      <c r="A50" s="130">
        <f t="shared" si="1"/>
        <v>46</v>
      </c>
      <c r="B50" s="134" t="s">
        <v>214</v>
      </c>
      <c r="C50" s="135">
        <v>140</v>
      </c>
      <c r="D50" s="135">
        <v>140</v>
      </c>
      <c r="E50" s="135">
        <v>7</v>
      </c>
      <c r="F50" s="135">
        <v>12</v>
      </c>
      <c r="G50" s="135">
        <v>12</v>
      </c>
      <c r="H50" s="135">
        <v>43</v>
      </c>
      <c r="I50" s="135">
        <v>33.700000000000003</v>
      </c>
      <c r="J50" s="135">
        <v>0.80500000000000005</v>
      </c>
      <c r="K50" s="135">
        <v>1509</v>
      </c>
      <c r="L50" s="135">
        <v>216</v>
      </c>
      <c r="M50" s="135">
        <v>5.93</v>
      </c>
      <c r="N50" s="135">
        <v>550</v>
      </c>
      <c r="O50" s="135">
        <v>78.5</v>
      </c>
      <c r="P50" s="135">
        <v>3.58</v>
      </c>
      <c r="Q50" s="135">
        <v>123</v>
      </c>
      <c r="R50" s="135">
        <v>12.3</v>
      </c>
      <c r="S50" s="135">
        <v>21</v>
      </c>
      <c r="T50" s="135">
        <v>75</v>
      </c>
      <c r="U50" s="135">
        <v>32.9</v>
      </c>
      <c r="V50" s="135">
        <v>7</v>
      </c>
    </row>
    <row r="51" spans="1:22">
      <c r="A51" s="130">
        <f t="shared" si="1"/>
        <v>47</v>
      </c>
      <c r="B51" s="134" t="s">
        <v>215</v>
      </c>
      <c r="C51" s="135">
        <v>160</v>
      </c>
      <c r="D51" s="135">
        <v>160</v>
      </c>
      <c r="E51" s="135">
        <v>8</v>
      </c>
      <c r="F51" s="135">
        <v>13</v>
      </c>
      <c r="G51" s="135">
        <v>15</v>
      </c>
      <c r="H51" s="135">
        <v>54.3</v>
      </c>
      <c r="I51" s="135">
        <v>42.6</v>
      </c>
      <c r="J51" s="135">
        <v>0.91800000000000004</v>
      </c>
      <c r="K51" s="135">
        <v>2492</v>
      </c>
      <c r="L51" s="135">
        <v>311</v>
      </c>
      <c r="M51" s="135">
        <v>6.78</v>
      </c>
      <c r="N51" s="135">
        <v>889</v>
      </c>
      <c r="O51" s="135">
        <v>111</v>
      </c>
      <c r="P51" s="135">
        <v>4.05</v>
      </c>
      <c r="Q51" s="135">
        <v>177</v>
      </c>
      <c r="R51" s="135">
        <v>14.1</v>
      </c>
      <c r="S51" s="135">
        <v>23</v>
      </c>
      <c r="T51" s="135">
        <v>85</v>
      </c>
      <c r="U51" s="135">
        <v>42.3</v>
      </c>
      <c r="V51" s="135">
        <v>8</v>
      </c>
    </row>
    <row r="52" spans="1:22">
      <c r="A52" s="130">
        <f t="shared" si="1"/>
        <v>48</v>
      </c>
      <c r="B52" s="134" t="s">
        <v>216</v>
      </c>
      <c r="C52" s="135">
        <v>180</v>
      </c>
      <c r="D52" s="135">
        <v>180</v>
      </c>
      <c r="E52" s="135">
        <v>8.5</v>
      </c>
      <c r="F52" s="135">
        <v>14</v>
      </c>
      <c r="G52" s="135">
        <v>15</v>
      </c>
      <c r="H52" s="135">
        <v>65.3</v>
      </c>
      <c r="I52" s="135">
        <v>51.2</v>
      </c>
      <c r="J52" s="135">
        <v>1.04</v>
      </c>
      <c r="K52" s="135">
        <v>3831</v>
      </c>
      <c r="L52" s="135">
        <v>426</v>
      </c>
      <c r="M52" s="135">
        <v>7.66</v>
      </c>
      <c r="N52" s="135">
        <v>1363</v>
      </c>
      <c r="O52" s="135">
        <v>151</v>
      </c>
      <c r="P52" s="135">
        <v>4.57</v>
      </c>
      <c r="Q52" s="135">
        <v>241</v>
      </c>
      <c r="R52" s="135">
        <v>15.9</v>
      </c>
      <c r="S52" s="135">
        <v>25</v>
      </c>
      <c r="T52" s="135">
        <v>100</v>
      </c>
      <c r="U52" s="135">
        <v>51.3</v>
      </c>
      <c r="V52" s="135">
        <v>9</v>
      </c>
    </row>
    <row r="53" spans="1:22" ht="15.75" thickBot="1">
      <c r="A53" s="130">
        <f t="shared" si="1"/>
        <v>49</v>
      </c>
      <c r="B53" s="132" t="s">
        <v>217</v>
      </c>
      <c r="C53" s="133">
        <v>200</v>
      </c>
      <c r="D53" s="133">
        <v>200</v>
      </c>
      <c r="E53" s="133">
        <v>9</v>
      </c>
      <c r="F53" s="133">
        <v>15</v>
      </c>
      <c r="G53" s="133">
        <v>18</v>
      </c>
      <c r="H53" s="133">
        <v>78.099999999999994</v>
      </c>
      <c r="I53" s="133">
        <v>61.3</v>
      </c>
      <c r="J53" s="133">
        <v>1.1499999999999999</v>
      </c>
      <c r="K53" s="133">
        <v>5696</v>
      </c>
      <c r="L53" s="133">
        <v>570</v>
      </c>
      <c r="M53" s="133">
        <v>8.5399999999999991</v>
      </c>
      <c r="N53" s="133">
        <v>2003</v>
      </c>
      <c r="O53" s="133">
        <v>200</v>
      </c>
      <c r="P53" s="133">
        <v>5.07</v>
      </c>
      <c r="Q53" s="133">
        <v>321</v>
      </c>
      <c r="R53" s="133">
        <v>17.7</v>
      </c>
      <c r="S53" s="133">
        <v>25</v>
      </c>
      <c r="T53" s="133">
        <v>110</v>
      </c>
      <c r="U53" s="133">
        <v>63.1</v>
      </c>
      <c r="V53" s="133">
        <v>10</v>
      </c>
    </row>
    <row r="54" spans="1:22">
      <c r="A54" s="130">
        <f t="shared" si="1"/>
        <v>50</v>
      </c>
      <c r="B54" s="124" t="s">
        <v>218</v>
      </c>
      <c r="C54" s="131">
        <v>220</v>
      </c>
      <c r="D54" s="131">
        <v>220</v>
      </c>
      <c r="E54" s="131">
        <v>9.5</v>
      </c>
      <c r="F54" s="131">
        <v>16</v>
      </c>
      <c r="G54" s="131">
        <v>18</v>
      </c>
      <c r="H54" s="131">
        <v>91</v>
      </c>
      <c r="I54" s="131">
        <v>71.5</v>
      </c>
      <c r="J54" s="131">
        <v>1.27</v>
      </c>
      <c r="K54" s="131">
        <v>8091</v>
      </c>
      <c r="L54" s="131">
        <v>736</v>
      </c>
      <c r="M54" s="131">
        <v>9.43</v>
      </c>
      <c r="N54" s="131">
        <v>2843</v>
      </c>
      <c r="O54" s="131">
        <v>258</v>
      </c>
      <c r="P54" s="131">
        <v>5.59</v>
      </c>
      <c r="Q54" s="131">
        <v>414</v>
      </c>
      <c r="R54" s="131">
        <v>19.600000000000001</v>
      </c>
      <c r="S54" s="131">
        <v>25</v>
      </c>
      <c r="T54" s="131">
        <v>120</v>
      </c>
      <c r="U54" s="131">
        <v>75</v>
      </c>
      <c r="V54" s="131">
        <v>11</v>
      </c>
    </row>
    <row r="55" spans="1:22">
      <c r="A55" s="130">
        <f t="shared" si="1"/>
        <v>51</v>
      </c>
      <c r="B55" s="134" t="s">
        <v>219</v>
      </c>
      <c r="C55" s="135">
        <v>240</v>
      </c>
      <c r="D55" s="135">
        <v>240</v>
      </c>
      <c r="E55" s="135">
        <v>10</v>
      </c>
      <c r="F55" s="135">
        <v>17</v>
      </c>
      <c r="G55" s="135">
        <v>21</v>
      </c>
      <c r="H55" s="135">
        <v>106</v>
      </c>
      <c r="I55" s="135">
        <v>83.2</v>
      </c>
      <c r="J55" s="135">
        <v>1.38</v>
      </c>
      <c r="K55" s="135">
        <v>11260</v>
      </c>
      <c r="L55" s="135">
        <v>938</v>
      </c>
      <c r="M55" s="135">
        <v>10.3</v>
      </c>
      <c r="N55" s="135">
        <v>3923</v>
      </c>
      <c r="O55" s="135">
        <v>327</v>
      </c>
      <c r="P55" s="135">
        <v>6.08</v>
      </c>
      <c r="Q55" s="135">
        <v>527</v>
      </c>
      <c r="R55" s="135">
        <v>21.4</v>
      </c>
      <c r="S55" s="135">
        <v>25</v>
      </c>
      <c r="T55" s="135">
        <v>90</v>
      </c>
      <c r="U55" s="135">
        <v>89</v>
      </c>
      <c r="V55" s="135">
        <v>12</v>
      </c>
    </row>
    <row r="56" spans="1:22">
      <c r="A56" s="130">
        <f t="shared" si="1"/>
        <v>52</v>
      </c>
      <c r="B56" s="134" t="s">
        <v>220</v>
      </c>
      <c r="C56" s="135">
        <v>260</v>
      </c>
      <c r="D56" s="135">
        <v>260</v>
      </c>
      <c r="E56" s="135">
        <v>10</v>
      </c>
      <c r="F56" s="135">
        <v>17.5</v>
      </c>
      <c r="G56" s="135">
        <v>24</v>
      </c>
      <c r="H56" s="135">
        <v>118</v>
      </c>
      <c r="I56" s="135">
        <v>93</v>
      </c>
      <c r="J56" s="135">
        <v>1.5</v>
      </c>
      <c r="K56" s="135">
        <v>14920</v>
      </c>
      <c r="L56" s="135">
        <v>1148</v>
      </c>
      <c r="M56" s="135">
        <v>11.2</v>
      </c>
      <c r="N56" s="135">
        <v>5135</v>
      </c>
      <c r="O56" s="135">
        <v>395</v>
      </c>
      <c r="P56" s="135">
        <v>6.58</v>
      </c>
      <c r="Q56" s="135">
        <v>641</v>
      </c>
      <c r="R56" s="135">
        <v>23.3</v>
      </c>
      <c r="S56" s="135">
        <v>25</v>
      </c>
      <c r="T56" s="135">
        <v>100</v>
      </c>
      <c r="U56" s="135">
        <v>100.5</v>
      </c>
      <c r="V56" s="135">
        <v>13</v>
      </c>
    </row>
    <row r="57" spans="1:22">
      <c r="A57" s="130">
        <f t="shared" si="1"/>
        <v>53</v>
      </c>
      <c r="B57" s="134" t="s">
        <v>221</v>
      </c>
      <c r="C57" s="135">
        <v>280</v>
      </c>
      <c r="D57" s="135">
        <v>280</v>
      </c>
      <c r="E57" s="135">
        <v>10.5</v>
      </c>
      <c r="F57" s="135">
        <v>18</v>
      </c>
      <c r="G57" s="135">
        <v>24</v>
      </c>
      <c r="H57" s="135">
        <v>131</v>
      </c>
      <c r="I57" s="135">
        <v>103</v>
      </c>
      <c r="J57" s="135">
        <v>1.62</v>
      </c>
      <c r="K57" s="135">
        <v>19270</v>
      </c>
      <c r="L57" s="135">
        <v>1376</v>
      </c>
      <c r="M57" s="135">
        <v>12.1</v>
      </c>
      <c r="N57" s="135">
        <v>6595</v>
      </c>
      <c r="O57" s="135">
        <v>471</v>
      </c>
      <c r="P57" s="135">
        <v>7.09</v>
      </c>
      <c r="Q57" s="135">
        <v>767</v>
      </c>
      <c r="R57" s="135">
        <v>25.1</v>
      </c>
      <c r="S57" s="135">
        <v>25</v>
      </c>
      <c r="T57" s="135">
        <v>110</v>
      </c>
      <c r="U57" s="135">
        <v>113</v>
      </c>
      <c r="V57" s="135">
        <v>14</v>
      </c>
    </row>
    <row r="58" spans="1:22" ht="15.75" thickBot="1">
      <c r="A58" s="130">
        <f t="shared" si="1"/>
        <v>54</v>
      </c>
      <c r="B58" s="132" t="s">
        <v>222</v>
      </c>
      <c r="C58" s="133">
        <v>300</v>
      </c>
      <c r="D58" s="133">
        <v>300</v>
      </c>
      <c r="E58" s="133">
        <v>11</v>
      </c>
      <c r="F58" s="133">
        <v>19</v>
      </c>
      <c r="G58" s="133">
        <v>27</v>
      </c>
      <c r="H58" s="133">
        <v>149</v>
      </c>
      <c r="I58" s="133">
        <v>117</v>
      </c>
      <c r="J58" s="133">
        <v>1.73</v>
      </c>
      <c r="K58" s="133">
        <v>25170</v>
      </c>
      <c r="L58" s="133">
        <v>1678</v>
      </c>
      <c r="M58" s="133">
        <v>13</v>
      </c>
      <c r="N58" s="133">
        <v>8563</v>
      </c>
      <c r="O58" s="133">
        <v>571</v>
      </c>
      <c r="P58" s="133">
        <v>7.58</v>
      </c>
      <c r="Q58" s="133">
        <v>934</v>
      </c>
      <c r="R58" s="133">
        <v>26.9</v>
      </c>
      <c r="S58" s="133">
        <v>25</v>
      </c>
      <c r="T58" s="133">
        <v>120</v>
      </c>
      <c r="U58" s="133">
        <v>130</v>
      </c>
      <c r="V58" s="133">
        <v>15</v>
      </c>
    </row>
    <row r="59" spans="1:22">
      <c r="A59" s="130">
        <f t="shared" si="1"/>
        <v>55</v>
      </c>
      <c r="B59" s="124" t="s">
        <v>223</v>
      </c>
      <c r="C59" s="131">
        <v>320</v>
      </c>
      <c r="D59" s="131">
        <v>300</v>
      </c>
      <c r="E59" s="131">
        <v>11.5</v>
      </c>
      <c r="F59" s="131">
        <v>20.5</v>
      </c>
      <c r="G59" s="131">
        <v>27</v>
      </c>
      <c r="H59" s="131">
        <v>161</v>
      </c>
      <c r="I59" s="131">
        <v>127</v>
      </c>
      <c r="J59" s="131">
        <v>1.77</v>
      </c>
      <c r="K59" s="131">
        <v>30820</v>
      </c>
      <c r="L59" s="131">
        <v>1926</v>
      </c>
      <c r="M59" s="131">
        <v>13.8</v>
      </c>
      <c r="N59" s="131">
        <v>9239</v>
      </c>
      <c r="O59" s="131">
        <v>616</v>
      </c>
      <c r="P59" s="131">
        <v>7.57</v>
      </c>
      <c r="Q59" s="131">
        <v>1075</v>
      </c>
      <c r="R59" s="131">
        <v>28.7</v>
      </c>
      <c r="S59" s="131">
        <v>25</v>
      </c>
      <c r="T59" s="131">
        <v>120</v>
      </c>
      <c r="U59" s="131">
        <v>140.5</v>
      </c>
      <c r="V59" s="131">
        <v>15</v>
      </c>
    </row>
    <row r="60" spans="1:22">
      <c r="A60" s="130">
        <f t="shared" si="1"/>
        <v>56</v>
      </c>
      <c r="B60" s="134" t="s">
        <v>224</v>
      </c>
      <c r="C60" s="135">
        <v>340</v>
      </c>
      <c r="D60" s="135">
        <v>300</v>
      </c>
      <c r="E60" s="135">
        <v>12</v>
      </c>
      <c r="F60" s="135">
        <v>21.5</v>
      </c>
      <c r="G60" s="135">
        <v>27</v>
      </c>
      <c r="H60" s="135">
        <v>171</v>
      </c>
      <c r="I60" s="135">
        <v>134</v>
      </c>
      <c r="J60" s="135">
        <v>1.81</v>
      </c>
      <c r="K60" s="135">
        <v>36660</v>
      </c>
      <c r="L60" s="135">
        <v>2156</v>
      </c>
      <c r="M60" s="135">
        <v>14.6</v>
      </c>
      <c r="N60" s="135">
        <v>9690</v>
      </c>
      <c r="O60" s="135">
        <v>646</v>
      </c>
      <c r="P60" s="135">
        <v>7.53</v>
      </c>
      <c r="Q60" s="135">
        <v>1204</v>
      </c>
      <c r="R60" s="135">
        <v>30.4</v>
      </c>
      <c r="S60" s="135">
        <v>25</v>
      </c>
      <c r="T60" s="135">
        <v>120</v>
      </c>
      <c r="U60" s="135">
        <v>149.5</v>
      </c>
      <c r="V60" s="135">
        <v>15</v>
      </c>
    </row>
    <row r="61" spans="1:22">
      <c r="A61" s="130">
        <f t="shared" si="1"/>
        <v>57</v>
      </c>
      <c r="B61" s="134" t="s">
        <v>225</v>
      </c>
      <c r="C61" s="135">
        <v>360</v>
      </c>
      <c r="D61" s="135">
        <v>300</v>
      </c>
      <c r="E61" s="135">
        <v>12.5</v>
      </c>
      <c r="F61" s="135">
        <v>22.5</v>
      </c>
      <c r="G61" s="135">
        <v>27</v>
      </c>
      <c r="H61" s="135">
        <v>181</v>
      </c>
      <c r="I61" s="135">
        <v>142</v>
      </c>
      <c r="J61" s="135">
        <v>1.85</v>
      </c>
      <c r="K61" s="135">
        <v>43190</v>
      </c>
      <c r="L61" s="135">
        <v>2400</v>
      </c>
      <c r="M61" s="135">
        <v>15.5</v>
      </c>
      <c r="N61" s="135">
        <v>10140</v>
      </c>
      <c r="O61" s="135">
        <v>676</v>
      </c>
      <c r="P61" s="135">
        <v>7.49</v>
      </c>
      <c r="Q61" s="135">
        <v>1341</v>
      </c>
      <c r="R61" s="135">
        <v>32.200000000000003</v>
      </c>
      <c r="S61" s="135">
        <v>25</v>
      </c>
      <c r="T61" s="135">
        <v>120</v>
      </c>
      <c r="U61" s="135">
        <v>158.5</v>
      </c>
      <c r="V61" s="135">
        <v>15</v>
      </c>
    </row>
    <row r="62" spans="1:22" ht="15.75" thickBot="1">
      <c r="A62" s="130">
        <f t="shared" si="1"/>
        <v>58</v>
      </c>
      <c r="B62" s="132" t="s">
        <v>226</v>
      </c>
      <c r="C62" s="133">
        <v>400</v>
      </c>
      <c r="D62" s="133">
        <v>300</v>
      </c>
      <c r="E62" s="133">
        <v>13.5</v>
      </c>
      <c r="F62" s="133">
        <v>24</v>
      </c>
      <c r="G62" s="133">
        <v>27</v>
      </c>
      <c r="H62" s="133">
        <v>198</v>
      </c>
      <c r="I62" s="133">
        <v>155</v>
      </c>
      <c r="J62" s="133">
        <v>1.93</v>
      </c>
      <c r="K62" s="133">
        <v>57680</v>
      </c>
      <c r="L62" s="133">
        <v>2884</v>
      </c>
      <c r="M62" s="133">
        <v>17.100000000000001</v>
      </c>
      <c r="N62" s="133">
        <v>10820</v>
      </c>
      <c r="O62" s="133">
        <v>721</v>
      </c>
      <c r="P62" s="133">
        <v>7.4</v>
      </c>
      <c r="Q62" s="133">
        <v>1616</v>
      </c>
      <c r="R62" s="133">
        <v>35.700000000000003</v>
      </c>
      <c r="S62" s="133">
        <v>25</v>
      </c>
      <c r="T62" s="133">
        <v>120</v>
      </c>
      <c r="U62" s="133">
        <v>174</v>
      </c>
      <c r="V62" s="133">
        <v>15</v>
      </c>
    </row>
    <row r="63" spans="1:22">
      <c r="A63" s="130">
        <f t="shared" si="1"/>
        <v>59</v>
      </c>
      <c r="B63" s="124" t="s">
        <v>227</v>
      </c>
      <c r="C63" s="131">
        <v>450</v>
      </c>
      <c r="D63" s="131">
        <v>300</v>
      </c>
      <c r="E63" s="131">
        <v>14</v>
      </c>
      <c r="F63" s="131">
        <v>26</v>
      </c>
      <c r="G63" s="131">
        <v>27</v>
      </c>
      <c r="H63" s="131">
        <v>218</v>
      </c>
      <c r="I63" s="131">
        <v>171</v>
      </c>
      <c r="J63" s="131">
        <v>2.0299999999999998</v>
      </c>
      <c r="K63" s="131">
        <v>79890</v>
      </c>
      <c r="L63" s="131">
        <v>3551</v>
      </c>
      <c r="M63" s="131">
        <v>19.100000000000001</v>
      </c>
      <c r="N63" s="131">
        <v>11720</v>
      </c>
      <c r="O63" s="131">
        <v>781</v>
      </c>
      <c r="P63" s="131">
        <v>7.33</v>
      </c>
      <c r="Q63" s="131">
        <v>1991</v>
      </c>
      <c r="R63" s="131">
        <v>40.1</v>
      </c>
      <c r="S63" s="131">
        <v>25</v>
      </c>
      <c r="T63" s="131">
        <v>120</v>
      </c>
      <c r="U63" s="131">
        <v>192</v>
      </c>
      <c r="V63" s="131">
        <v>15</v>
      </c>
    </row>
    <row r="64" spans="1:22">
      <c r="A64" s="130">
        <f t="shared" si="1"/>
        <v>60</v>
      </c>
      <c r="B64" s="134" t="s">
        <v>228</v>
      </c>
      <c r="C64" s="135">
        <v>500</v>
      </c>
      <c r="D64" s="135">
        <v>300</v>
      </c>
      <c r="E64" s="135">
        <v>14.5</v>
      </c>
      <c r="F64" s="135">
        <v>28</v>
      </c>
      <c r="G64" s="135">
        <v>27</v>
      </c>
      <c r="H64" s="135">
        <v>239</v>
      </c>
      <c r="I64" s="135">
        <v>187</v>
      </c>
      <c r="J64" s="135">
        <v>2.12</v>
      </c>
      <c r="K64" s="135">
        <v>107180</v>
      </c>
      <c r="L64" s="135">
        <v>4287</v>
      </c>
      <c r="M64" s="135">
        <v>21.2</v>
      </c>
      <c r="N64" s="135">
        <v>12620</v>
      </c>
      <c r="O64" s="135">
        <v>842</v>
      </c>
      <c r="P64" s="135">
        <v>7.27</v>
      </c>
      <c r="Q64" s="135">
        <v>2407</v>
      </c>
      <c r="R64" s="135">
        <v>44.5</v>
      </c>
      <c r="S64" s="135">
        <v>28</v>
      </c>
      <c r="T64" s="135">
        <v>120</v>
      </c>
      <c r="U64" s="135">
        <v>211</v>
      </c>
      <c r="V64" s="135">
        <v>15</v>
      </c>
    </row>
    <row r="65" spans="1:22">
      <c r="A65" s="130">
        <f t="shared" si="1"/>
        <v>61</v>
      </c>
      <c r="B65" s="134" t="s">
        <v>229</v>
      </c>
      <c r="C65" s="135">
        <v>550</v>
      </c>
      <c r="D65" s="135">
        <v>300</v>
      </c>
      <c r="E65" s="135">
        <v>15</v>
      </c>
      <c r="F65" s="135">
        <v>29</v>
      </c>
      <c r="G65" s="135">
        <v>27</v>
      </c>
      <c r="H65" s="135">
        <v>254</v>
      </c>
      <c r="I65" s="135">
        <v>199</v>
      </c>
      <c r="J65" s="135">
        <v>2.2200000000000002</v>
      </c>
      <c r="K65" s="135">
        <v>136690</v>
      </c>
      <c r="L65" s="135">
        <v>4971</v>
      </c>
      <c r="M65" s="135">
        <v>23.2</v>
      </c>
      <c r="N65" s="135">
        <v>13080</v>
      </c>
      <c r="O65" s="135">
        <v>872</v>
      </c>
      <c r="P65" s="135">
        <v>7.17</v>
      </c>
      <c r="Q65" s="135">
        <v>2795</v>
      </c>
      <c r="R65" s="135">
        <v>48.9</v>
      </c>
      <c r="S65" s="135">
        <v>28</v>
      </c>
      <c r="T65" s="135">
        <v>120</v>
      </c>
      <c r="U65" s="135">
        <v>225</v>
      </c>
      <c r="V65" s="135">
        <v>15</v>
      </c>
    </row>
    <row r="66" spans="1:22" ht="15.75" thickBot="1">
      <c r="A66" s="130">
        <f t="shared" si="1"/>
        <v>62</v>
      </c>
      <c r="B66" s="132" t="s">
        <v>230</v>
      </c>
      <c r="C66" s="133">
        <v>600</v>
      </c>
      <c r="D66" s="133">
        <v>300</v>
      </c>
      <c r="E66" s="133">
        <v>15.5</v>
      </c>
      <c r="F66" s="133">
        <v>30</v>
      </c>
      <c r="G66" s="133">
        <v>27</v>
      </c>
      <c r="H66" s="133">
        <v>270</v>
      </c>
      <c r="I66" s="133">
        <v>212</v>
      </c>
      <c r="J66" s="133">
        <v>2.3199999999999998</v>
      </c>
      <c r="K66" s="133">
        <v>171040</v>
      </c>
      <c r="L66" s="133">
        <v>5701</v>
      </c>
      <c r="M66" s="133">
        <v>25.2</v>
      </c>
      <c r="N66" s="133">
        <v>13530</v>
      </c>
      <c r="O66" s="133">
        <v>902</v>
      </c>
      <c r="P66" s="133">
        <v>7.08</v>
      </c>
      <c r="Q66" s="133">
        <v>3213</v>
      </c>
      <c r="R66" s="133">
        <v>53.2</v>
      </c>
      <c r="S66" s="133">
        <v>28</v>
      </c>
      <c r="T66" s="133">
        <v>120</v>
      </c>
      <c r="U66" s="133">
        <v>240</v>
      </c>
      <c r="V66" s="133">
        <v>15</v>
      </c>
    </row>
    <row r="67" spans="1:22">
      <c r="A67" s="130">
        <f t="shared" si="1"/>
        <v>63</v>
      </c>
      <c r="B67" s="124" t="s">
        <v>231</v>
      </c>
      <c r="C67" s="131">
        <v>650</v>
      </c>
      <c r="D67" s="131">
        <v>300</v>
      </c>
      <c r="E67" s="131">
        <v>16</v>
      </c>
      <c r="F67" s="131">
        <v>31</v>
      </c>
      <c r="G67" s="131">
        <v>27</v>
      </c>
      <c r="H67" s="131">
        <v>286</v>
      </c>
      <c r="I67" s="131">
        <v>225</v>
      </c>
      <c r="J67" s="131">
        <v>2.42</v>
      </c>
      <c r="K67" s="131">
        <v>210600</v>
      </c>
      <c r="L67" s="131">
        <v>6480</v>
      </c>
      <c r="M67" s="131">
        <v>27.1</v>
      </c>
      <c r="N67" s="131">
        <v>13980</v>
      </c>
      <c r="O67" s="131">
        <v>932</v>
      </c>
      <c r="P67" s="131">
        <v>6.99</v>
      </c>
      <c r="Q67" s="131">
        <v>3660</v>
      </c>
      <c r="R67" s="131">
        <v>57.5</v>
      </c>
      <c r="S67" s="131">
        <v>28</v>
      </c>
      <c r="T67" s="131">
        <v>120</v>
      </c>
      <c r="U67" s="131">
        <v>251.3</v>
      </c>
      <c r="V67" s="131">
        <v>15</v>
      </c>
    </row>
    <row r="68" spans="1:22">
      <c r="A68" s="130">
        <f t="shared" si="1"/>
        <v>64</v>
      </c>
      <c r="B68" s="134" t="s">
        <v>232</v>
      </c>
      <c r="C68" s="135">
        <v>700</v>
      </c>
      <c r="D68" s="135">
        <v>300</v>
      </c>
      <c r="E68" s="135">
        <v>17</v>
      </c>
      <c r="F68" s="135">
        <v>32</v>
      </c>
      <c r="G68" s="135">
        <v>27</v>
      </c>
      <c r="H68" s="135">
        <v>306</v>
      </c>
      <c r="I68" s="135">
        <v>241</v>
      </c>
      <c r="J68" s="135">
        <v>2.52</v>
      </c>
      <c r="K68" s="135">
        <v>256900</v>
      </c>
      <c r="L68" s="135">
        <v>7340</v>
      </c>
      <c r="M68" s="135">
        <v>29</v>
      </c>
      <c r="N68" s="135">
        <v>14440</v>
      </c>
      <c r="O68" s="135">
        <v>963</v>
      </c>
      <c r="P68" s="135">
        <v>6.87</v>
      </c>
      <c r="Q68" s="135">
        <v>4163.5</v>
      </c>
      <c r="R68" s="135">
        <v>61.7</v>
      </c>
      <c r="S68" s="135">
        <v>28</v>
      </c>
      <c r="T68" s="135">
        <v>120</v>
      </c>
      <c r="U68" s="135">
        <v>270.10000000000002</v>
      </c>
      <c r="V68" s="135">
        <v>15</v>
      </c>
    </row>
    <row r="69" spans="1:22" ht="15.75" thickBot="1">
      <c r="A69" s="130">
        <f t="shared" si="1"/>
        <v>65</v>
      </c>
      <c r="B69" s="132" t="s">
        <v>233</v>
      </c>
      <c r="C69" s="133">
        <v>800</v>
      </c>
      <c r="D69" s="133">
        <v>300</v>
      </c>
      <c r="E69" s="133">
        <v>17.5</v>
      </c>
      <c r="F69" s="133">
        <v>33</v>
      </c>
      <c r="G69" s="133">
        <v>30</v>
      </c>
      <c r="H69" s="133">
        <v>334</v>
      </c>
      <c r="I69" s="133">
        <v>262</v>
      </c>
      <c r="J69" s="133">
        <v>2.71</v>
      </c>
      <c r="K69" s="133">
        <v>359100</v>
      </c>
      <c r="L69" s="133">
        <v>8977</v>
      </c>
      <c r="M69" s="133">
        <v>32.799999999999997</v>
      </c>
      <c r="N69" s="133">
        <v>14900</v>
      </c>
      <c r="O69" s="133">
        <v>994</v>
      </c>
      <c r="P69" s="133">
        <v>6.68</v>
      </c>
      <c r="Q69" s="133">
        <v>5115</v>
      </c>
      <c r="R69" s="133">
        <v>70.2</v>
      </c>
      <c r="S69" s="133">
        <v>28</v>
      </c>
      <c r="T69" s="133">
        <v>120</v>
      </c>
      <c r="U69" s="133">
        <v>297</v>
      </c>
      <c r="V69" s="133">
        <v>15</v>
      </c>
    </row>
    <row r="70" spans="1:22">
      <c r="A70" s="130">
        <f t="shared" si="1"/>
        <v>66</v>
      </c>
      <c r="B70" s="124" t="s">
        <v>234</v>
      </c>
      <c r="C70" s="131">
        <v>900</v>
      </c>
      <c r="D70" s="131">
        <v>300</v>
      </c>
      <c r="E70" s="131">
        <v>18.5</v>
      </c>
      <c r="F70" s="131">
        <v>35</v>
      </c>
      <c r="G70" s="131">
        <v>30</v>
      </c>
      <c r="H70" s="131">
        <v>371</v>
      </c>
      <c r="I70" s="131">
        <v>291</v>
      </c>
      <c r="J70" s="131">
        <v>2.91</v>
      </c>
      <c r="K70" s="131">
        <v>494100</v>
      </c>
      <c r="L70" s="131">
        <v>10980</v>
      </c>
      <c r="M70" s="131">
        <v>36.5</v>
      </c>
      <c r="N70" s="131">
        <v>15820</v>
      </c>
      <c r="O70" s="131">
        <v>1054</v>
      </c>
      <c r="P70" s="131">
        <v>6.53</v>
      </c>
      <c r="Q70" s="131">
        <v>6290</v>
      </c>
      <c r="R70" s="131">
        <v>78.5</v>
      </c>
      <c r="S70" s="131">
        <v>28</v>
      </c>
      <c r="T70" s="131">
        <v>120</v>
      </c>
      <c r="U70" s="131">
        <v>331.8</v>
      </c>
      <c r="V70" s="131">
        <v>15</v>
      </c>
    </row>
    <row r="71" spans="1:22" ht="15.75" thickBot="1">
      <c r="A71" s="130">
        <f t="shared" si="1"/>
        <v>67</v>
      </c>
      <c r="B71" s="132" t="s">
        <v>235</v>
      </c>
      <c r="C71" s="133">
        <v>1000</v>
      </c>
      <c r="D71" s="133">
        <v>300</v>
      </c>
      <c r="E71" s="133">
        <v>19</v>
      </c>
      <c r="F71" s="133">
        <v>36</v>
      </c>
      <c r="G71" s="133">
        <v>30</v>
      </c>
      <c r="H71" s="133">
        <v>400</v>
      </c>
      <c r="I71" s="133">
        <v>314</v>
      </c>
      <c r="J71" s="133">
        <v>3.11</v>
      </c>
      <c r="K71" s="133">
        <v>644700</v>
      </c>
      <c r="L71" s="133">
        <v>12890</v>
      </c>
      <c r="M71" s="133">
        <v>40.1</v>
      </c>
      <c r="N71" s="133">
        <v>16280</v>
      </c>
      <c r="O71" s="133">
        <v>1085</v>
      </c>
      <c r="P71" s="133">
        <v>6.38</v>
      </c>
      <c r="Q71" s="133">
        <v>7430</v>
      </c>
      <c r="R71" s="133">
        <v>86.8</v>
      </c>
      <c r="S71" s="133">
        <v>28</v>
      </c>
      <c r="T71" s="133">
        <v>120</v>
      </c>
      <c r="U71" s="133">
        <v>359.7</v>
      </c>
      <c r="V71" s="133">
        <v>15</v>
      </c>
    </row>
    <row r="72" spans="1:22">
      <c r="A72" s="130">
        <f t="shared" ref="A72:A95" si="2">A71+1</f>
        <v>68</v>
      </c>
      <c r="B72" s="124" t="s">
        <v>236</v>
      </c>
      <c r="C72" s="137">
        <v>120</v>
      </c>
      <c r="D72" s="137">
        <v>106</v>
      </c>
      <c r="E72" s="137">
        <v>12</v>
      </c>
      <c r="F72" s="137">
        <v>20</v>
      </c>
      <c r="G72" s="137">
        <v>12</v>
      </c>
      <c r="H72" s="137">
        <v>53.2</v>
      </c>
      <c r="I72" s="137">
        <v>41.8</v>
      </c>
      <c r="J72" s="137">
        <v>0.61899999999999999</v>
      </c>
      <c r="K72" s="137">
        <v>1143</v>
      </c>
      <c r="L72" s="137">
        <v>190</v>
      </c>
      <c r="M72" s="137">
        <v>4.63</v>
      </c>
      <c r="N72" s="137">
        <v>399</v>
      </c>
      <c r="O72" s="137">
        <v>75.3</v>
      </c>
      <c r="P72" s="137">
        <v>2.74</v>
      </c>
      <c r="Q72" s="137">
        <v>118</v>
      </c>
      <c r="R72" s="137">
        <v>9.69</v>
      </c>
      <c r="S72" s="137">
        <v>13</v>
      </c>
      <c r="T72" s="137">
        <v>55</v>
      </c>
      <c r="U72" s="137">
        <v>42.8</v>
      </c>
      <c r="V72" s="137">
        <v>5.3</v>
      </c>
    </row>
    <row r="73" spans="1:22">
      <c r="A73" s="130">
        <f t="shared" si="2"/>
        <v>69</v>
      </c>
      <c r="B73" s="134" t="s">
        <v>237</v>
      </c>
      <c r="C73" s="138">
        <v>140</v>
      </c>
      <c r="D73" s="138">
        <v>126</v>
      </c>
      <c r="E73" s="138">
        <v>12.5</v>
      </c>
      <c r="F73" s="138">
        <v>21</v>
      </c>
      <c r="G73" s="138">
        <v>12</v>
      </c>
      <c r="H73" s="138">
        <v>66.400000000000006</v>
      </c>
      <c r="I73" s="138">
        <v>52.1</v>
      </c>
      <c r="J73" s="138">
        <v>0.73799999999999999</v>
      </c>
      <c r="K73" s="138">
        <v>2018</v>
      </c>
      <c r="L73" s="138">
        <v>288</v>
      </c>
      <c r="M73" s="138">
        <v>5.51</v>
      </c>
      <c r="N73" s="138">
        <v>703</v>
      </c>
      <c r="O73" s="138">
        <v>112</v>
      </c>
      <c r="P73" s="138">
        <v>3.25</v>
      </c>
      <c r="Q73" s="138">
        <v>175</v>
      </c>
      <c r="R73" s="138">
        <v>11.5</v>
      </c>
      <c r="S73" s="138">
        <v>17</v>
      </c>
      <c r="T73" s="138">
        <v>65</v>
      </c>
      <c r="U73" s="138">
        <v>52.1</v>
      </c>
      <c r="V73" s="138">
        <v>6.3</v>
      </c>
    </row>
    <row r="74" spans="1:22">
      <c r="A74" s="130">
        <f t="shared" si="2"/>
        <v>70</v>
      </c>
      <c r="B74" s="134" t="s">
        <v>238</v>
      </c>
      <c r="C74" s="138">
        <v>160</v>
      </c>
      <c r="D74" s="138">
        <v>146</v>
      </c>
      <c r="E74" s="138">
        <v>13</v>
      </c>
      <c r="F74" s="138">
        <v>22</v>
      </c>
      <c r="G74" s="138">
        <v>12</v>
      </c>
      <c r="H74" s="138">
        <v>80.599999999999994</v>
      </c>
      <c r="I74" s="138">
        <v>63.2</v>
      </c>
      <c r="J74" s="138">
        <v>0.85699999999999998</v>
      </c>
      <c r="K74" s="138">
        <v>3291</v>
      </c>
      <c r="L74" s="138">
        <v>411</v>
      </c>
      <c r="M74" s="138">
        <v>6.39</v>
      </c>
      <c r="N74" s="138">
        <v>1144</v>
      </c>
      <c r="O74" s="138">
        <v>157</v>
      </c>
      <c r="P74" s="138">
        <v>3.77</v>
      </c>
      <c r="Q74" s="138">
        <v>247</v>
      </c>
      <c r="R74" s="138">
        <v>13.3</v>
      </c>
      <c r="S74" s="138">
        <v>21</v>
      </c>
      <c r="T74" s="138">
        <v>75</v>
      </c>
      <c r="U74" s="138">
        <v>62.1</v>
      </c>
      <c r="V74" s="138">
        <v>7.3</v>
      </c>
    </row>
    <row r="75" spans="1:22">
      <c r="A75" s="130">
        <f t="shared" si="2"/>
        <v>71</v>
      </c>
      <c r="B75" s="134" t="s">
        <v>239</v>
      </c>
      <c r="C75" s="138">
        <v>180</v>
      </c>
      <c r="D75" s="138">
        <v>166</v>
      </c>
      <c r="E75" s="138">
        <v>14</v>
      </c>
      <c r="F75" s="138">
        <v>23</v>
      </c>
      <c r="G75" s="138">
        <v>15</v>
      </c>
      <c r="H75" s="138">
        <v>97.1</v>
      </c>
      <c r="I75" s="138">
        <v>76.2</v>
      </c>
      <c r="J75" s="138">
        <v>0.97</v>
      </c>
      <c r="K75" s="138">
        <v>5098</v>
      </c>
      <c r="L75" s="138">
        <v>566</v>
      </c>
      <c r="M75" s="138">
        <v>7.25</v>
      </c>
      <c r="N75" s="138">
        <v>1759</v>
      </c>
      <c r="O75" s="138">
        <v>212</v>
      </c>
      <c r="P75" s="138">
        <v>4.26</v>
      </c>
      <c r="Q75" s="138">
        <v>337</v>
      </c>
      <c r="R75" s="138">
        <v>15.1</v>
      </c>
      <c r="S75" s="138">
        <v>23</v>
      </c>
      <c r="T75" s="138">
        <v>85</v>
      </c>
      <c r="U75" s="138">
        <v>75.900000000000006</v>
      </c>
      <c r="V75" s="138">
        <v>8.3000000000000007</v>
      </c>
    </row>
    <row r="76" spans="1:22">
      <c r="A76" s="130">
        <f t="shared" si="2"/>
        <v>72</v>
      </c>
      <c r="B76" s="134" t="s">
        <v>240</v>
      </c>
      <c r="C76" s="138">
        <v>200</v>
      </c>
      <c r="D76" s="138">
        <v>186</v>
      </c>
      <c r="E76" s="138">
        <v>14.5</v>
      </c>
      <c r="F76" s="138">
        <v>24</v>
      </c>
      <c r="G76" s="138">
        <v>15</v>
      </c>
      <c r="H76" s="138">
        <v>113</v>
      </c>
      <c r="I76" s="138">
        <v>88.9</v>
      </c>
      <c r="J76" s="138">
        <v>1.0900000000000001</v>
      </c>
      <c r="K76" s="138">
        <v>7483</v>
      </c>
      <c r="L76" s="138">
        <v>748</v>
      </c>
      <c r="M76" s="138">
        <v>8.1300000000000008</v>
      </c>
      <c r="N76" s="138">
        <v>2580</v>
      </c>
      <c r="O76" s="138">
        <v>277</v>
      </c>
      <c r="P76" s="138">
        <v>4.7699999999999996</v>
      </c>
      <c r="Q76" s="138">
        <v>442</v>
      </c>
      <c r="R76" s="138">
        <v>16.899999999999999</v>
      </c>
      <c r="S76" s="138">
        <v>25</v>
      </c>
      <c r="T76" s="138">
        <v>95</v>
      </c>
      <c r="U76" s="138">
        <v>89</v>
      </c>
      <c r="V76" s="138">
        <v>9.3000000000000007</v>
      </c>
    </row>
    <row r="77" spans="1:22" ht="15.75" thickBot="1">
      <c r="A77" s="130">
        <f t="shared" si="2"/>
        <v>73</v>
      </c>
      <c r="B77" s="132" t="s">
        <v>241</v>
      </c>
      <c r="C77" s="139">
        <v>220</v>
      </c>
      <c r="D77" s="139">
        <v>206</v>
      </c>
      <c r="E77" s="139">
        <v>15</v>
      </c>
      <c r="F77" s="139">
        <v>25</v>
      </c>
      <c r="G77" s="139">
        <v>18</v>
      </c>
      <c r="H77" s="139">
        <v>131</v>
      </c>
      <c r="I77" s="139">
        <v>103</v>
      </c>
      <c r="J77" s="139">
        <v>1.2</v>
      </c>
      <c r="K77" s="139">
        <v>10640</v>
      </c>
      <c r="L77" s="139">
        <v>967</v>
      </c>
      <c r="M77" s="139">
        <v>9</v>
      </c>
      <c r="N77" s="139">
        <v>3651</v>
      </c>
      <c r="O77" s="139">
        <v>354</v>
      </c>
      <c r="P77" s="139">
        <v>5.27</v>
      </c>
      <c r="Q77" s="139">
        <v>568</v>
      </c>
      <c r="R77" s="139">
        <v>18.7</v>
      </c>
      <c r="S77" s="139">
        <v>25</v>
      </c>
      <c r="T77" s="139">
        <v>105</v>
      </c>
      <c r="U77" s="139">
        <v>106</v>
      </c>
      <c r="V77" s="139">
        <v>10.3</v>
      </c>
    </row>
    <row r="78" spans="1:22">
      <c r="A78" s="130">
        <f t="shared" si="2"/>
        <v>74</v>
      </c>
      <c r="B78" s="124" t="s">
        <v>242</v>
      </c>
      <c r="C78" s="137">
        <v>240</v>
      </c>
      <c r="D78" s="137">
        <v>226</v>
      </c>
      <c r="E78" s="137">
        <v>15.5</v>
      </c>
      <c r="F78" s="137">
        <v>26</v>
      </c>
      <c r="G78" s="137">
        <v>18</v>
      </c>
      <c r="H78" s="137">
        <v>149</v>
      </c>
      <c r="I78" s="137">
        <v>117</v>
      </c>
      <c r="J78" s="137">
        <v>1.32</v>
      </c>
      <c r="K78" s="137">
        <v>14600</v>
      </c>
      <c r="L78" s="137">
        <v>1217</v>
      </c>
      <c r="M78" s="137">
        <v>9.89</v>
      </c>
      <c r="N78" s="137">
        <v>5012</v>
      </c>
      <c r="O78" s="137">
        <v>444</v>
      </c>
      <c r="P78" s="137">
        <v>5.79</v>
      </c>
      <c r="Q78" s="137">
        <v>710</v>
      </c>
      <c r="R78" s="137">
        <v>20.6</v>
      </c>
      <c r="S78" s="137">
        <v>25</v>
      </c>
      <c r="T78" s="137">
        <v>115</v>
      </c>
      <c r="U78" s="137">
        <v>123</v>
      </c>
      <c r="V78" s="137">
        <v>11.3</v>
      </c>
    </row>
    <row r="79" spans="1:22">
      <c r="A79" s="130">
        <f t="shared" si="2"/>
        <v>75</v>
      </c>
      <c r="B79" s="134" t="s">
        <v>243</v>
      </c>
      <c r="C79" s="138">
        <v>270</v>
      </c>
      <c r="D79" s="138">
        <v>248</v>
      </c>
      <c r="E79" s="138">
        <v>18</v>
      </c>
      <c r="F79" s="138">
        <v>32</v>
      </c>
      <c r="G79" s="138">
        <v>21</v>
      </c>
      <c r="H79" s="138">
        <v>200</v>
      </c>
      <c r="I79" s="138">
        <v>157</v>
      </c>
      <c r="J79" s="138">
        <v>1.46</v>
      </c>
      <c r="K79" s="138">
        <v>24290</v>
      </c>
      <c r="L79" s="138">
        <v>1799</v>
      </c>
      <c r="M79" s="138">
        <v>11</v>
      </c>
      <c r="N79" s="138">
        <v>8153</v>
      </c>
      <c r="O79" s="138">
        <v>657</v>
      </c>
      <c r="P79" s="138">
        <v>6.39</v>
      </c>
      <c r="Q79" s="138">
        <v>1058</v>
      </c>
      <c r="R79" s="138">
        <v>22.9</v>
      </c>
      <c r="S79" s="138">
        <v>25</v>
      </c>
      <c r="T79" s="138">
        <v>90</v>
      </c>
      <c r="U79" s="138">
        <v>168</v>
      </c>
      <c r="V79" s="138">
        <v>12.4</v>
      </c>
    </row>
    <row r="80" spans="1:22">
      <c r="A80" s="130">
        <f t="shared" si="2"/>
        <v>76</v>
      </c>
      <c r="B80" s="134" t="s">
        <v>244</v>
      </c>
      <c r="C80" s="138">
        <v>290</v>
      </c>
      <c r="D80" s="138">
        <v>268</v>
      </c>
      <c r="E80" s="138">
        <v>18</v>
      </c>
      <c r="F80" s="138">
        <v>32.5</v>
      </c>
      <c r="G80" s="138">
        <v>24</v>
      </c>
      <c r="H80" s="138">
        <v>220</v>
      </c>
      <c r="I80" s="138">
        <v>172</v>
      </c>
      <c r="J80" s="138">
        <v>1.57</v>
      </c>
      <c r="K80" s="138">
        <v>31310</v>
      </c>
      <c r="L80" s="138">
        <v>2159</v>
      </c>
      <c r="M80" s="138">
        <v>11.9</v>
      </c>
      <c r="N80" s="138">
        <v>10450</v>
      </c>
      <c r="O80" s="138">
        <v>780</v>
      </c>
      <c r="P80" s="138">
        <v>6.9</v>
      </c>
      <c r="Q80" s="138">
        <v>1262</v>
      </c>
      <c r="R80" s="138">
        <v>24.8</v>
      </c>
      <c r="S80" s="138">
        <v>25</v>
      </c>
      <c r="T80" s="138">
        <v>100</v>
      </c>
      <c r="U80" s="138">
        <v>187.5</v>
      </c>
      <c r="V80" s="138">
        <v>13.4</v>
      </c>
    </row>
    <row r="81" spans="1:22">
      <c r="A81" s="130">
        <f t="shared" si="2"/>
        <v>77</v>
      </c>
      <c r="B81" s="134" t="s">
        <v>245</v>
      </c>
      <c r="C81" s="138">
        <v>310</v>
      </c>
      <c r="D81" s="138">
        <v>288</v>
      </c>
      <c r="E81" s="138">
        <v>18.5</v>
      </c>
      <c r="F81" s="138">
        <v>33</v>
      </c>
      <c r="G81" s="138">
        <v>24</v>
      </c>
      <c r="H81" s="138">
        <v>240</v>
      </c>
      <c r="I81" s="138">
        <v>189</v>
      </c>
      <c r="J81" s="138">
        <v>1.69</v>
      </c>
      <c r="K81" s="138">
        <v>39550</v>
      </c>
      <c r="L81" s="138">
        <v>2551</v>
      </c>
      <c r="M81" s="138">
        <v>12.8</v>
      </c>
      <c r="N81" s="138">
        <v>13160</v>
      </c>
      <c r="O81" s="138">
        <v>914</v>
      </c>
      <c r="P81" s="138">
        <v>7.4</v>
      </c>
      <c r="Q81" s="138">
        <v>1483</v>
      </c>
      <c r="R81" s="138">
        <v>26.7</v>
      </c>
      <c r="S81" s="138">
        <v>25</v>
      </c>
      <c r="T81" s="138">
        <v>110</v>
      </c>
      <c r="U81" s="138">
        <v>207</v>
      </c>
      <c r="V81" s="138">
        <v>14.4</v>
      </c>
    </row>
    <row r="82" spans="1:22" ht="15.75" thickBot="1">
      <c r="A82" s="130">
        <f t="shared" si="2"/>
        <v>78</v>
      </c>
      <c r="B82" s="132" t="s">
        <v>246</v>
      </c>
      <c r="C82" s="139">
        <v>340</v>
      </c>
      <c r="D82" s="139">
        <v>310</v>
      </c>
      <c r="E82" s="139">
        <v>21</v>
      </c>
      <c r="F82" s="139">
        <v>39</v>
      </c>
      <c r="G82" s="139">
        <v>27</v>
      </c>
      <c r="H82" s="139">
        <v>303</v>
      </c>
      <c r="I82" s="139">
        <v>238</v>
      </c>
      <c r="J82" s="139">
        <v>1.83</v>
      </c>
      <c r="K82" s="139">
        <v>59200</v>
      </c>
      <c r="L82" s="139">
        <v>3482</v>
      </c>
      <c r="M82" s="139">
        <v>14</v>
      </c>
      <c r="N82" s="139">
        <v>19400</v>
      </c>
      <c r="O82" s="139">
        <v>1252</v>
      </c>
      <c r="P82" s="139">
        <v>8</v>
      </c>
      <c r="Q82" s="139">
        <v>2039</v>
      </c>
      <c r="R82" s="139">
        <v>29</v>
      </c>
      <c r="S82" s="139">
        <v>25</v>
      </c>
      <c r="T82" s="139">
        <v>120</v>
      </c>
      <c r="U82" s="139">
        <v>264</v>
      </c>
      <c r="V82" s="139">
        <v>15.5</v>
      </c>
    </row>
    <row r="83" spans="1:22">
      <c r="A83" s="130">
        <f t="shared" si="2"/>
        <v>79</v>
      </c>
      <c r="B83" s="124" t="s">
        <v>247</v>
      </c>
      <c r="C83" s="137">
        <v>359</v>
      </c>
      <c r="D83" s="137">
        <v>309</v>
      </c>
      <c r="E83" s="137">
        <v>21</v>
      </c>
      <c r="F83" s="137">
        <v>40</v>
      </c>
      <c r="G83" s="137">
        <v>27</v>
      </c>
      <c r="H83" s="137">
        <v>312</v>
      </c>
      <c r="I83" s="137">
        <v>245</v>
      </c>
      <c r="J83" s="137">
        <v>1.87</v>
      </c>
      <c r="K83" s="137">
        <v>68130</v>
      </c>
      <c r="L83" s="137">
        <v>3796</v>
      </c>
      <c r="M83" s="137">
        <v>14.8</v>
      </c>
      <c r="N83" s="137">
        <v>19710</v>
      </c>
      <c r="O83" s="137">
        <v>1276</v>
      </c>
      <c r="P83" s="137">
        <v>7.95</v>
      </c>
      <c r="Q83" s="137">
        <v>2216</v>
      </c>
      <c r="R83" s="137">
        <v>30.7</v>
      </c>
      <c r="S83" s="137">
        <v>25</v>
      </c>
      <c r="T83" s="137">
        <v>120</v>
      </c>
      <c r="U83" s="137">
        <v>272</v>
      </c>
      <c r="V83" s="137">
        <v>15.45</v>
      </c>
    </row>
    <row r="84" spans="1:22">
      <c r="A84" s="130">
        <f t="shared" si="2"/>
        <v>80</v>
      </c>
      <c r="B84" s="134" t="s">
        <v>248</v>
      </c>
      <c r="C84" s="138">
        <v>377</v>
      </c>
      <c r="D84" s="138">
        <v>309</v>
      </c>
      <c r="E84" s="138">
        <v>21</v>
      </c>
      <c r="F84" s="138">
        <v>40</v>
      </c>
      <c r="G84" s="138">
        <v>27</v>
      </c>
      <c r="H84" s="138">
        <v>316</v>
      </c>
      <c r="I84" s="138">
        <v>248</v>
      </c>
      <c r="J84" s="138">
        <v>1.9</v>
      </c>
      <c r="K84" s="138">
        <v>76370</v>
      </c>
      <c r="L84" s="138">
        <v>4052</v>
      </c>
      <c r="M84" s="138">
        <v>15.6</v>
      </c>
      <c r="N84" s="138">
        <v>19710</v>
      </c>
      <c r="O84" s="138">
        <v>1276</v>
      </c>
      <c r="P84" s="138">
        <v>7.9</v>
      </c>
      <c r="Q84" s="138">
        <v>2359</v>
      </c>
      <c r="R84" s="138">
        <v>32.4</v>
      </c>
      <c r="S84" s="138">
        <v>25</v>
      </c>
      <c r="T84" s="138">
        <v>120</v>
      </c>
      <c r="U84" s="138">
        <v>276</v>
      </c>
      <c r="V84" s="138">
        <v>15.45</v>
      </c>
    </row>
    <row r="85" spans="1:22">
      <c r="A85" s="130">
        <f t="shared" si="2"/>
        <v>81</v>
      </c>
      <c r="B85" s="134" t="s">
        <v>249</v>
      </c>
      <c r="C85" s="138">
        <v>395</v>
      </c>
      <c r="D85" s="138">
        <v>308</v>
      </c>
      <c r="E85" s="138">
        <v>21</v>
      </c>
      <c r="F85" s="138">
        <v>40</v>
      </c>
      <c r="G85" s="138">
        <v>27</v>
      </c>
      <c r="H85" s="138">
        <v>319</v>
      </c>
      <c r="I85" s="138">
        <v>250</v>
      </c>
      <c r="J85" s="138">
        <v>1.93</v>
      </c>
      <c r="K85" s="138">
        <v>84870</v>
      </c>
      <c r="L85" s="138">
        <v>4297</v>
      </c>
      <c r="M85" s="138">
        <v>16.3</v>
      </c>
      <c r="N85" s="138">
        <v>19520</v>
      </c>
      <c r="O85" s="138">
        <v>1268</v>
      </c>
      <c r="P85" s="138">
        <v>7.83</v>
      </c>
      <c r="Q85" s="138">
        <v>2495</v>
      </c>
      <c r="R85" s="138">
        <v>34</v>
      </c>
      <c r="S85" s="138">
        <v>25</v>
      </c>
      <c r="T85" s="138">
        <v>120</v>
      </c>
      <c r="U85" s="138">
        <v>279</v>
      </c>
      <c r="V85" s="138">
        <v>15.4</v>
      </c>
    </row>
    <row r="86" spans="1:22" ht="15.75" thickBot="1">
      <c r="A86" s="130">
        <f t="shared" si="2"/>
        <v>82</v>
      </c>
      <c r="B86" s="132" t="s">
        <v>250</v>
      </c>
      <c r="C86" s="139">
        <v>432</v>
      </c>
      <c r="D86" s="139">
        <v>307</v>
      </c>
      <c r="E86" s="139">
        <v>21</v>
      </c>
      <c r="F86" s="139">
        <v>40</v>
      </c>
      <c r="G86" s="139">
        <v>27</v>
      </c>
      <c r="H86" s="139">
        <v>326</v>
      </c>
      <c r="I86" s="139">
        <v>256</v>
      </c>
      <c r="J86" s="139">
        <v>2</v>
      </c>
      <c r="K86" s="139">
        <v>104120</v>
      </c>
      <c r="L86" s="139">
        <v>4820</v>
      </c>
      <c r="M86" s="139">
        <v>17.899999999999999</v>
      </c>
      <c r="N86" s="139">
        <v>19340</v>
      </c>
      <c r="O86" s="139">
        <v>1260</v>
      </c>
      <c r="P86" s="139">
        <v>7.7</v>
      </c>
      <c r="Q86" s="139">
        <v>2785</v>
      </c>
      <c r="R86" s="139">
        <v>37.4</v>
      </c>
      <c r="S86" s="139">
        <v>25</v>
      </c>
      <c r="T86" s="139">
        <v>120</v>
      </c>
      <c r="U86" s="139">
        <v>286</v>
      </c>
      <c r="V86" s="139">
        <v>15.35</v>
      </c>
    </row>
    <row r="87" spans="1:22">
      <c r="A87" s="130">
        <f t="shared" si="2"/>
        <v>83</v>
      </c>
      <c r="B87" s="124" t="s">
        <v>251</v>
      </c>
      <c r="C87" s="137">
        <v>478</v>
      </c>
      <c r="D87" s="137">
        <v>307</v>
      </c>
      <c r="E87" s="137">
        <v>21</v>
      </c>
      <c r="F87" s="137">
        <v>40</v>
      </c>
      <c r="G87" s="137">
        <v>27</v>
      </c>
      <c r="H87" s="137">
        <v>335</v>
      </c>
      <c r="I87" s="137">
        <v>263</v>
      </c>
      <c r="J87" s="137">
        <v>2.1</v>
      </c>
      <c r="K87" s="137">
        <v>131480</v>
      </c>
      <c r="L87" s="137">
        <v>5501</v>
      </c>
      <c r="M87" s="137">
        <v>19.8</v>
      </c>
      <c r="N87" s="137">
        <v>19340</v>
      </c>
      <c r="O87" s="137">
        <v>1260</v>
      </c>
      <c r="P87" s="137">
        <v>7.59</v>
      </c>
      <c r="Q87" s="137">
        <v>3166</v>
      </c>
      <c r="R87" s="137">
        <v>41.5</v>
      </c>
      <c r="S87" s="137">
        <v>25</v>
      </c>
      <c r="T87" s="137">
        <v>120</v>
      </c>
      <c r="U87" s="137">
        <v>295</v>
      </c>
      <c r="V87" s="137">
        <v>15.35</v>
      </c>
    </row>
    <row r="88" spans="1:22">
      <c r="A88" s="130">
        <f t="shared" si="2"/>
        <v>84</v>
      </c>
      <c r="B88" s="134" t="s">
        <v>252</v>
      </c>
      <c r="C88" s="138">
        <v>524</v>
      </c>
      <c r="D88" s="138">
        <v>306</v>
      </c>
      <c r="E88" s="138">
        <v>21</v>
      </c>
      <c r="F88" s="138">
        <v>40</v>
      </c>
      <c r="G88" s="138">
        <v>27</v>
      </c>
      <c r="H88" s="138">
        <v>344</v>
      </c>
      <c r="I88" s="138">
        <v>270</v>
      </c>
      <c r="J88" s="138">
        <v>2.1800000000000002</v>
      </c>
      <c r="K88" s="138">
        <v>161930</v>
      </c>
      <c r="L88" s="138">
        <v>6180</v>
      </c>
      <c r="M88" s="138">
        <v>21.7</v>
      </c>
      <c r="N88" s="138">
        <v>19150</v>
      </c>
      <c r="O88" s="138">
        <v>1252</v>
      </c>
      <c r="P88" s="138">
        <v>7.46</v>
      </c>
      <c r="Q88" s="138">
        <v>3547</v>
      </c>
      <c r="R88" s="138">
        <v>45.7</v>
      </c>
      <c r="S88" s="138">
        <v>28</v>
      </c>
      <c r="T88" s="138">
        <v>120</v>
      </c>
      <c r="U88" s="138">
        <v>299.2</v>
      </c>
      <c r="V88" s="138">
        <v>15.3</v>
      </c>
    </row>
    <row r="89" spans="1:22">
      <c r="A89" s="130">
        <f t="shared" si="2"/>
        <v>85</v>
      </c>
      <c r="B89" s="134" t="s">
        <v>253</v>
      </c>
      <c r="C89" s="138">
        <v>572</v>
      </c>
      <c r="D89" s="138">
        <v>306</v>
      </c>
      <c r="E89" s="138">
        <v>21</v>
      </c>
      <c r="F89" s="138">
        <v>40</v>
      </c>
      <c r="G89" s="138">
        <v>27</v>
      </c>
      <c r="H89" s="138">
        <v>354</v>
      </c>
      <c r="I89" s="138">
        <v>278</v>
      </c>
      <c r="J89" s="138">
        <v>2.2799999999999998</v>
      </c>
      <c r="K89" s="138">
        <v>197980</v>
      </c>
      <c r="L89" s="138">
        <v>6923</v>
      </c>
      <c r="M89" s="138">
        <v>23.6</v>
      </c>
      <c r="N89" s="138">
        <v>19160</v>
      </c>
      <c r="O89" s="138">
        <v>1252</v>
      </c>
      <c r="P89" s="138">
        <v>7.35</v>
      </c>
      <c r="Q89" s="138">
        <v>3966</v>
      </c>
      <c r="R89" s="138">
        <v>49.9</v>
      </c>
      <c r="S89" s="138">
        <v>28</v>
      </c>
      <c r="T89" s="138">
        <v>120</v>
      </c>
      <c r="U89" s="138">
        <v>309.2</v>
      </c>
      <c r="V89" s="138">
        <v>15.3</v>
      </c>
    </row>
    <row r="90" spans="1:22" ht="15.75" thickBot="1">
      <c r="A90" s="130">
        <f t="shared" si="2"/>
        <v>86</v>
      </c>
      <c r="B90" s="132" t="s">
        <v>254</v>
      </c>
      <c r="C90" s="139">
        <v>620</v>
      </c>
      <c r="D90" s="139">
        <v>305</v>
      </c>
      <c r="E90" s="139">
        <v>21</v>
      </c>
      <c r="F90" s="139">
        <v>40</v>
      </c>
      <c r="G90" s="139">
        <v>27</v>
      </c>
      <c r="H90" s="139">
        <v>364</v>
      </c>
      <c r="I90" s="139">
        <v>285</v>
      </c>
      <c r="J90" s="139">
        <v>2.37</v>
      </c>
      <c r="K90" s="139">
        <v>237450</v>
      </c>
      <c r="L90" s="139">
        <v>7660</v>
      </c>
      <c r="M90" s="139">
        <v>25.6</v>
      </c>
      <c r="N90" s="139">
        <v>18980</v>
      </c>
      <c r="O90" s="139">
        <v>1244</v>
      </c>
      <c r="P90" s="139">
        <v>7.22</v>
      </c>
      <c r="Q90" s="139">
        <v>4386</v>
      </c>
      <c r="R90" s="139">
        <v>54.1</v>
      </c>
      <c r="S90" s="139">
        <v>28</v>
      </c>
      <c r="T90" s="139">
        <v>120</v>
      </c>
      <c r="U90" s="139">
        <v>319.2</v>
      </c>
      <c r="V90" s="139">
        <v>15.25</v>
      </c>
    </row>
    <row r="91" spans="1:22">
      <c r="A91" s="130">
        <f t="shared" si="2"/>
        <v>87</v>
      </c>
      <c r="B91" s="124" t="s">
        <v>255</v>
      </c>
      <c r="C91" s="137">
        <v>668</v>
      </c>
      <c r="D91" s="137">
        <v>305</v>
      </c>
      <c r="E91" s="137">
        <v>21</v>
      </c>
      <c r="F91" s="137">
        <v>40</v>
      </c>
      <c r="G91" s="137">
        <v>27</v>
      </c>
      <c r="H91" s="137">
        <v>374</v>
      </c>
      <c r="I91" s="137">
        <v>293</v>
      </c>
      <c r="J91" s="137">
        <v>2.4700000000000002</v>
      </c>
      <c r="K91" s="137">
        <v>281700</v>
      </c>
      <c r="L91" s="137">
        <v>8433</v>
      </c>
      <c r="M91" s="137">
        <v>27.5</v>
      </c>
      <c r="N91" s="137">
        <v>18980</v>
      </c>
      <c r="O91" s="137">
        <v>1245</v>
      </c>
      <c r="P91" s="137">
        <v>7.13</v>
      </c>
      <c r="Q91" s="137">
        <v>4828.5</v>
      </c>
      <c r="R91" s="137">
        <v>58.3</v>
      </c>
      <c r="S91" s="137">
        <v>28</v>
      </c>
      <c r="T91" s="137">
        <v>120</v>
      </c>
      <c r="U91" s="137">
        <v>329.2</v>
      </c>
      <c r="V91" s="137">
        <v>15.25</v>
      </c>
    </row>
    <row r="92" spans="1:22">
      <c r="A92" s="130">
        <f t="shared" si="2"/>
        <v>88</v>
      </c>
      <c r="B92" s="134" t="s">
        <v>256</v>
      </c>
      <c r="C92" s="138">
        <v>716</v>
      </c>
      <c r="D92" s="138">
        <v>304</v>
      </c>
      <c r="E92" s="138">
        <v>21</v>
      </c>
      <c r="F92" s="138">
        <v>40</v>
      </c>
      <c r="G92" s="138">
        <v>27</v>
      </c>
      <c r="H92" s="138">
        <v>383</v>
      </c>
      <c r="I92" s="138">
        <v>301</v>
      </c>
      <c r="J92" s="138">
        <v>2.56</v>
      </c>
      <c r="K92" s="138">
        <v>329300</v>
      </c>
      <c r="L92" s="138">
        <v>9198</v>
      </c>
      <c r="M92" s="138">
        <v>29.3</v>
      </c>
      <c r="N92" s="138">
        <v>18800</v>
      </c>
      <c r="O92" s="138">
        <v>1237</v>
      </c>
      <c r="P92" s="138">
        <v>7.01</v>
      </c>
      <c r="Q92" s="138">
        <v>5270</v>
      </c>
      <c r="R92" s="138">
        <v>62.5</v>
      </c>
      <c r="S92" s="138">
        <v>28</v>
      </c>
      <c r="T92" s="138">
        <v>120</v>
      </c>
      <c r="U92" s="138">
        <v>338.2</v>
      </c>
      <c r="V92" s="138">
        <v>15.2</v>
      </c>
    </row>
    <row r="93" spans="1:22" ht="15.75" thickBot="1">
      <c r="A93" s="130">
        <f t="shared" si="2"/>
        <v>89</v>
      </c>
      <c r="B93" s="132" t="s">
        <v>257</v>
      </c>
      <c r="C93" s="139">
        <v>814</v>
      </c>
      <c r="D93" s="139">
        <v>303</v>
      </c>
      <c r="E93" s="139">
        <v>21</v>
      </c>
      <c r="F93" s="139">
        <v>40</v>
      </c>
      <c r="G93" s="139">
        <v>30</v>
      </c>
      <c r="H93" s="139">
        <v>404</v>
      </c>
      <c r="I93" s="139">
        <v>317</v>
      </c>
      <c r="J93" s="139">
        <v>2.75</v>
      </c>
      <c r="K93" s="139">
        <v>442600</v>
      </c>
      <c r="L93" s="139">
        <v>10870</v>
      </c>
      <c r="M93" s="139">
        <v>33.1</v>
      </c>
      <c r="N93" s="139">
        <v>18630</v>
      </c>
      <c r="O93" s="139">
        <v>1230</v>
      </c>
      <c r="P93" s="139">
        <v>6.79</v>
      </c>
      <c r="Q93" s="139">
        <v>6245</v>
      </c>
      <c r="R93" s="139">
        <v>70.900000000000006</v>
      </c>
      <c r="S93" s="139">
        <v>28</v>
      </c>
      <c r="T93" s="139">
        <v>120</v>
      </c>
      <c r="U93" s="139">
        <v>359.2</v>
      </c>
      <c r="V93" s="139">
        <v>15.15</v>
      </c>
    </row>
    <row r="94" spans="1:22">
      <c r="A94" s="130">
        <f t="shared" si="2"/>
        <v>90</v>
      </c>
      <c r="B94" s="124" t="s">
        <v>258</v>
      </c>
      <c r="C94" s="137">
        <v>910</v>
      </c>
      <c r="D94" s="137">
        <v>302</v>
      </c>
      <c r="E94" s="137">
        <v>21</v>
      </c>
      <c r="F94" s="137">
        <v>40</v>
      </c>
      <c r="G94" s="137">
        <v>30</v>
      </c>
      <c r="H94" s="137">
        <v>424</v>
      </c>
      <c r="I94" s="137">
        <v>333</v>
      </c>
      <c r="J94" s="137">
        <v>2.93</v>
      </c>
      <c r="K94" s="137">
        <v>570400</v>
      </c>
      <c r="L94" s="137">
        <v>12540</v>
      </c>
      <c r="M94" s="137">
        <v>36.700000000000003</v>
      </c>
      <c r="N94" s="137">
        <v>18450</v>
      </c>
      <c r="O94" s="137">
        <v>1222</v>
      </c>
      <c r="P94" s="137">
        <v>6.6</v>
      </c>
      <c r="Q94" s="137">
        <v>7220</v>
      </c>
      <c r="R94" s="137">
        <v>79</v>
      </c>
      <c r="S94" s="137">
        <v>28</v>
      </c>
      <c r="T94" s="137">
        <v>120</v>
      </c>
      <c r="U94" s="137">
        <v>379.2</v>
      </c>
      <c r="V94" s="137">
        <v>15.1</v>
      </c>
    </row>
    <row r="95" spans="1:22" ht="15.75" thickBot="1">
      <c r="A95" s="130">
        <f t="shared" si="2"/>
        <v>91</v>
      </c>
      <c r="B95" s="132" t="s">
        <v>259</v>
      </c>
      <c r="C95" s="139">
        <v>1008</v>
      </c>
      <c r="D95" s="139">
        <v>302</v>
      </c>
      <c r="E95" s="139">
        <v>21</v>
      </c>
      <c r="F95" s="139">
        <v>40</v>
      </c>
      <c r="G95" s="139">
        <v>30</v>
      </c>
      <c r="H95" s="139">
        <v>444</v>
      </c>
      <c r="I95" s="139">
        <v>349</v>
      </c>
      <c r="J95" s="139">
        <v>3.13</v>
      </c>
      <c r="K95" s="139">
        <v>722300</v>
      </c>
      <c r="L95" s="139">
        <v>14330</v>
      </c>
      <c r="M95" s="139">
        <v>40.299999999999997</v>
      </c>
      <c r="N95" s="139">
        <v>18460</v>
      </c>
      <c r="O95" s="139">
        <v>1222</v>
      </c>
      <c r="P95" s="139">
        <v>6.45</v>
      </c>
      <c r="Q95" s="139">
        <v>8285</v>
      </c>
      <c r="R95" s="139">
        <v>87.1</v>
      </c>
      <c r="S95" s="139">
        <v>28</v>
      </c>
      <c r="T95" s="139">
        <v>120</v>
      </c>
      <c r="U95" s="139">
        <v>399.2</v>
      </c>
      <c r="V95" s="139">
        <v>15.1</v>
      </c>
    </row>
    <row r="96" spans="1:22">
      <c r="A96" s="119"/>
      <c r="B96" s="140"/>
      <c r="C96" s="141"/>
      <c r="D96" s="141"/>
      <c r="E96" s="141"/>
      <c r="F96" s="141"/>
      <c r="G96" s="141"/>
      <c r="H96" s="141"/>
      <c r="I96" s="141"/>
      <c r="J96" s="141"/>
      <c r="K96" s="141"/>
      <c r="L96" s="141"/>
      <c r="M96" s="141"/>
      <c r="N96" s="141"/>
      <c r="O96" s="141"/>
      <c r="P96" s="141"/>
      <c r="Q96" s="141"/>
      <c r="R96" s="141"/>
      <c r="S96" s="141"/>
      <c r="T96" s="141"/>
      <c r="U96" s="141"/>
      <c r="V96" s="141"/>
    </row>
    <row r="97" spans="1:22">
      <c r="A97" s="119"/>
      <c r="B97" s="120"/>
      <c r="C97" s="120"/>
      <c r="D97" s="120"/>
      <c r="E97" s="120"/>
      <c r="F97" s="120"/>
      <c r="G97" s="120"/>
      <c r="H97" s="120"/>
      <c r="I97" s="120"/>
      <c r="J97" s="120"/>
      <c r="K97" s="120"/>
      <c r="L97" s="120"/>
      <c r="M97" s="120"/>
      <c r="N97" s="120"/>
      <c r="O97" s="120"/>
      <c r="P97" s="120"/>
      <c r="Q97" s="120"/>
      <c r="R97" s="120"/>
      <c r="S97" s="120"/>
      <c r="T97" s="120"/>
      <c r="U97" s="120"/>
      <c r="V97" s="120"/>
    </row>
    <row r="98" spans="1:22">
      <c r="A98" s="119"/>
      <c r="B98" s="151" t="s">
        <v>357</v>
      </c>
      <c r="C98" s="120">
        <v>235</v>
      </c>
      <c r="E98" s="120"/>
      <c r="F98" s="120"/>
      <c r="G98" s="120"/>
      <c r="H98" s="120"/>
      <c r="I98" s="120"/>
      <c r="J98" s="120"/>
      <c r="K98" s="120"/>
      <c r="L98" s="120"/>
      <c r="M98" s="120"/>
      <c r="N98" s="120"/>
      <c r="O98" s="120"/>
      <c r="P98" s="120"/>
      <c r="Q98" s="120"/>
      <c r="R98" s="120"/>
      <c r="S98" s="120"/>
      <c r="T98" s="120"/>
      <c r="U98" s="120"/>
      <c r="V98" s="120"/>
    </row>
    <row r="99" spans="1:22">
      <c r="A99" s="119"/>
      <c r="B99" s="151" t="s">
        <v>354</v>
      </c>
      <c r="C99" s="120">
        <v>275</v>
      </c>
      <c r="E99" s="120"/>
      <c r="F99" s="120"/>
      <c r="G99" s="120"/>
      <c r="H99" s="120"/>
      <c r="I99" s="120"/>
      <c r="J99" s="120"/>
      <c r="K99" s="120"/>
      <c r="L99" s="120"/>
      <c r="M99" s="120"/>
      <c r="N99" s="120"/>
      <c r="O99" s="120"/>
      <c r="P99" s="120"/>
      <c r="Q99" s="120"/>
      <c r="R99" s="120"/>
      <c r="S99" s="120"/>
      <c r="T99" s="120"/>
      <c r="U99" s="120"/>
      <c r="V99" s="120"/>
    </row>
    <row r="100" spans="1:22">
      <c r="A100" s="119"/>
      <c r="B100" s="151" t="s">
        <v>355</v>
      </c>
      <c r="C100" s="120">
        <v>355</v>
      </c>
      <c r="E100" s="120"/>
      <c r="F100" s="120"/>
      <c r="G100" s="120"/>
      <c r="H100" s="120"/>
      <c r="I100" s="120"/>
      <c r="J100" s="120"/>
      <c r="K100" s="120"/>
      <c r="L100" s="120"/>
      <c r="M100" s="120"/>
      <c r="N100" s="120"/>
      <c r="O100" s="120"/>
      <c r="P100" s="120"/>
      <c r="Q100" s="120"/>
      <c r="R100" s="120"/>
      <c r="S100" s="120"/>
      <c r="T100" s="120"/>
      <c r="U100" s="120"/>
      <c r="V100" s="120"/>
    </row>
    <row r="101" spans="1:22">
      <c r="A101" s="119"/>
      <c r="B101" s="151" t="s">
        <v>356</v>
      </c>
      <c r="C101" s="120">
        <v>460</v>
      </c>
      <c r="E101" s="120"/>
      <c r="F101" s="120"/>
      <c r="G101" s="120"/>
      <c r="H101" s="120"/>
      <c r="I101" s="120"/>
      <c r="J101" s="120"/>
      <c r="K101" s="120"/>
      <c r="L101" s="120"/>
      <c r="M101" s="120"/>
      <c r="N101" s="120"/>
      <c r="O101" s="120"/>
      <c r="P101" s="120"/>
      <c r="Q101" s="120"/>
      <c r="R101" s="120"/>
      <c r="S101" s="120"/>
      <c r="T101" s="120"/>
      <c r="U101" s="120"/>
      <c r="V101" s="120"/>
    </row>
    <row r="102" spans="1:22">
      <c r="A102" s="119"/>
      <c r="B102" s="120"/>
      <c r="C102" s="120"/>
      <c r="D102" s="120"/>
      <c r="E102" s="120"/>
      <c r="F102" s="120"/>
      <c r="G102" s="120"/>
      <c r="H102" s="120"/>
      <c r="I102" s="120"/>
      <c r="J102" s="120"/>
      <c r="K102" s="120"/>
      <c r="L102" s="120"/>
      <c r="M102" s="120"/>
      <c r="N102" s="120"/>
      <c r="O102" s="120"/>
      <c r="P102" s="120"/>
      <c r="Q102" s="120"/>
      <c r="R102" s="120"/>
      <c r="S102" s="120"/>
      <c r="T102" s="120"/>
      <c r="U102" s="120"/>
      <c r="V102" s="120"/>
    </row>
    <row r="103" spans="1:22">
      <c r="A103" s="119"/>
      <c r="B103" s="120" t="s">
        <v>358</v>
      </c>
      <c r="C103" s="120"/>
      <c r="D103" s="120"/>
      <c r="E103" s="120"/>
      <c r="F103" s="120"/>
      <c r="G103" s="120"/>
      <c r="H103" s="120"/>
      <c r="I103" s="120"/>
      <c r="J103" s="120"/>
      <c r="K103" s="120"/>
      <c r="L103" s="120"/>
      <c r="M103" s="120"/>
      <c r="N103" s="120"/>
      <c r="O103" s="120"/>
      <c r="P103" s="120"/>
      <c r="Q103" s="120"/>
      <c r="R103" s="120"/>
      <c r="S103" s="120"/>
      <c r="T103" s="120"/>
      <c r="U103" s="120"/>
      <c r="V103" s="120"/>
    </row>
    <row r="104" spans="1:22">
      <c r="A104" s="119"/>
      <c r="B104" s="120" t="s">
        <v>359</v>
      </c>
      <c r="C104" s="120"/>
      <c r="D104" s="120"/>
      <c r="E104" s="120"/>
      <c r="F104" s="120"/>
      <c r="G104" s="120"/>
      <c r="H104" s="120"/>
      <c r="I104" s="120"/>
      <c r="J104" s="120"/>
      <c r="K104" s="120"/>
      <c r="L104" s="120"/>
      <c r="M104" s="120"/>
      <c r="N104" s="120"/>
      <c r="O104" s="120"/>
      <c r="P104" s="120"/>
      <c r="Q104" s="120"/>
      <c r="R104" s="120"/>
      <c r="S104" s="120"/>
      <c r="T104" s="120"/>
      <c r="U104" s="120"/>
      <c r="V104" s="120"/>
    </row>
    <row r="105" spans="1:22">
      <c r="A105" s="119"/>
      <c r="B105" s="120" t="s">
        <v>360</v>
      </c>
      <c r="C105" s="120"/>
      <c r="D105" s="120"/>
      <c r="E105" s="120"/>
      <c r="F105" s="120"/>
      <c r="G105" s="120"/>
      <c r="H105" s="120"/>
      <c r="I105" s="120"/>
      <c r="J105" s="120"/>
      <c r="K105" s="120"/>
      <c r="L105" s="120"/>
      <c r="M105" s="120"/>
      <c r="N105" s="120"/>
      <c r="O105" s="120"/>
      <c r="P105" s="120"/>
      <c r="Q105" s="120"/>
      <c r="R105" s="120"/>
      <c r="S105" s="120"/>
      <c r="T105" s="120"/>
      <c r="U105" s="120"/>
      <c r="V105" s="120"/>
    </row>
    <row r="106" spans="1:22">
      <c r="A106" s="119"/>
      <c r="B106" s="120" t="s">
        <v>361</v>
      </c>
      <c r="C106" s="120"/>
      <c r="D106" s="120"/>
      <c r="E106" s="120"/>
      <c r="F106" s="120"/>
      <c r="G106" s="120"/>
      <c r="H106" s="120"/>
      <c r="I106" s="120"/>
      <c r="J106" s="120"/>
      <c r="K106" s="120"/>
      <c r="L106" s="120"/>
      <c r="M106" s="120"/>
      <c r="N106" s="120"/>
      <c r="O106" s="120"/>
      <c r="P106" s="120"/>
      <c r="Q106" s="120"/>
      <c r="R106" s="120"/>
      <c r="S106" s="120"/>
      <c r="T106" s="120"/>
      <c r="U106" s="120"/>
      <c r="V106" s="120"/>
    </row>
    <row r="107" spans="1:22">
      <c r="A107" s="119"/>
      <c r="B107" s="120"/>
      <c r="C107" s="120"/>
      <c r="D107" s="120"/>
      <c r="E107" s="120"/>
      <c r="F107" s="120"/>
      <c r="G107" s="120"/>
      <c r="H107" s="120"/>
      <c r="I107" s="120"/>
      <c r="J107" s="120"/>
      <c r="K107" s="120"/>
      <c r="L107" s="120"/>
      <c r="M107" s="120"/>
      <c r="N107" s="120"/>
      <c r="O107" s="120"/>
      <c r="P107" s="120"/>
      <c r="Q107" s="120"/>
      <c r="R107" s="120"/>
      <c r="S107" s="120"/>
      <c r="T107" s="120"/>
      <c r="U107" s="120"/>
      <c r="V107" s="120"/>
    </row>
    <row r="108" spans="1:22">
      <c r="A108" s="119"/>
      <c r="B108" s="120"/>
      <c r="C108" s="120"/>
      <c r="D108" s="120"/>
      <c r="E108" s="120"/>
      <c r="F108" s="120"/>
      <c r="G108" s="120"/>
      <c r="H108" s="120"/>
      <c r="I108" s="120"/>
      <c r="J108" s="120"/>
      <c r="K108" s="120"/>
      <c r="L108" s="120"/>
      <c r="M108" s="120"/>
      <c r="N108" s="120"/>
      <c r="O108" s="120"/>
      <c r="P108" s="120"/>
      <c r="Q108" s="120"/>
      <c r="R108" s="120"/>
      <c r="S108" s="120"/>
      <c r="T108" s="120"/>
      <c r="U108" s="120"/>
      <c r="V108" s="120"/>
    </row>
  </sheetData>
  <customSheetViews>
    <customSheetView guid="{2499ACAE-A2C7-4F7F-900A-65021AFAF04C}" state="hidden" topLeftCell="A69">
      <selection activeCell="H102" sqref="H102"/>
      <pageMargins left="0.7" right="0.7" top="0.75" bottom="0.75" header="0.3" footer="0.3"/>
    </customSheetView>
    <customSheetView guid="{4556642F-611B-4273-921A-A5552A57B1F5}" state="hidden" topLeftCell="A69">
      <selection activeCell="H106" sqref="H106"/>
      <pageMargins left="0.7" right="0.7" top="0.75" bottom="0.75" header="0.3" footer="0.3"/>
    </customSheetView>
    <customSheetView guid="{4F428F85-A986-464A-BD5B-D43EDDD1A16A}" state="hidden" topLeftCell="A69">
      <selection activeCell="H106" sqref="H106"/>
      <pageMargins left="0.7" right="0.7" top="0.75" bottom="0.75" header="0.3" footer="0.3"/>
    </customSheetView>
  </customSheetViews>
  <mergeCells count="7">
    <mergeCell ref="K2:P3"/>
    <mergeCell ref="C3:G3"/>
    <mergeCell ref="S3:U3"/>
    <mergeCell ref="C4:G4"/>
    <mergeCell ref="K4:M4"/>
    <mergeCell ref="N4:P4"/>
    <mergeCell ref="S4:T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49"/>
  <sheetViews>
    <sheetView showGridLines="0" showRowColHeaders="0" zoomScale="90" zoomScaleNormal="90" workbookViewId="0">
      <selection activeCell="U30" sqref="U30"/>
    </sheetView>
  </sheetViews>
  <sheetFormatPr defaultRowHeight="15"/>
  <cols>
    <col min="1" max="1" width="3.140625" style="3" customWidth="1"/>
    <col min="6" max="6" width="9.140625" customWidth="1"/>
    <col min="7" max="9" width="14.5703125" customWidth="1"/>
    <col min="10" max="10" width="17.28515625" customWidth="1"/>
    <col min="11" max="11" width="16.85546875" customWidth="1"/>
    <col min="15" max="15" width="20.42578125" customWidth="1"/>
    <col min="20" max="24" width="14.85546875" customWidth="1"/>
  </cols>
  <sheetData>
    <row r="1" spans="2:16" s="3" customFormat="1">
      <c r="B1" s="11"/>
      <c r="C1" s="11"/>
      <c r="D1" s="11"/>
      <c r="E1" s="11"/>
      <c r="F1" s="11"/>
      <c r="G1" s="11"/>
      <c r="H1" s="11"/>
      <c r="I1" s="11"/>
      <c r="J1" s="11"/>
      <c r="K1" s="11"/>
      <c r="L1" s="11"/>
      <c r="M1" s="11"/>
      <c r="N1" s="11"/>
      <c r="O1" s="11"/>
      <c r="P1" s="11"/>
    </row>
    <row r="2" spans="2:16" s="3" customFormat="1">
      <c r="B2" s="288" t="s">
        <v>414</v>
      </c>
      <c r="C2" s="288"/>
      <c r="D2" s="288"/>
      <c r="E2" s="288"/>
      <c r="F2" s="288"/>
      <c r="G2" s="288"/>
      <c r="H2" s="288"/>
      <c r="I2" s="288"/>
      <c r="J2" s="288"/>
      <c r="K2" s="288"/>
      <c r="L2" s="11"/>
      <c r="M2" s="11"/>
      <c r="N2" s="11"/>
      <c r="O2" s="11"/>
      <c r="P2" s="11"/>
    </row>
    <row r="3" spans="2:16" s="3" customFormat="1">
      <c r="B3" s="11"/>
      <c r="C3" s="11"/>
      <c r="D3" s="11"/>
      <c r="E3" s="11"/>
      <c r="F3" s="11"/>
      <c r="G3" s="11"/>
      <c r="H3" s="11"/>
      <c r="I3" s="11"/>
      <c r="J3" s="11"/>
      <c r="K3" s="11"/>
      <c r="L3" s="11"/>
      <c r="M3" s="11"/>
      <c r="N3" s="11"/>
      <c r="O3" s="11"/>
      <c r="P3" s="11"/>
    </row>
    <row r="4" spans="2:16">
      <c r="B4" s="285" t="str">
        <f>'FOGLIO DEPOSITO'!B90</f>
        <v xml:space="preserve">Muratura in pietre a spacco con buona tessitura </v>
      </c>
      <c r="C4" s="285"/>
      <c r="D4" s="285"/>
      <c r="E4" s="285"/>
      <c r="F4" s="285"/>
      <c r="G4" s="286" t="s">
        <v>19</v>
      </c>
      <c r="H4" s="286" t="s">
        <v>20</v>
      </c>
      <c r="I4" s="286" t="s">
        <v>21</v>
      </c>
      <c r="J4" s="286" t="s">
        <v>22</v>
      </c>
      <c r="K4" s="286" t="s">
        <v>23</v>
      </c>
      <c r="L4" s="11"/>
      <c r="M4" s="11"/>
      <c r="N4" s="11"/>
      <c r="O4" s="11"/>
      <c r="P4" s="11"/>
    </row>
    <row r="5" spans="2:16">
      <c r="B5" s="285"/>
      <c r="C5" s="285"/>
      <c r="D5" s="285"/>
      <c r="E5" s="285"/>
      <c r="F5" s="285"/>
      <c r="G5" s="286"/>
      <c r="H5" s="286"/>
      <c r="I5" s="286"/>
      <c r="J5" s="286"/>
      <c r="K5" s="286"/>
      <c r="L5" s="11"/>
      <c r="M5" s="11"/>
      <c r="N5" s="11"/>
      <c r="O5" s="11"/>
      <c r="P5" s="11"/>
    </row>
    <row r="6" spans="2:16" ht="15" customHeight="1">
      <c r="B6" s="285"/>
      <c r="C6" s="285"/>
      <c r="D6" s="285"/>
      <c r="E6" s="285"/>
      <c r="F6" s="285"/>
      <c r="G6" s="99">
        <f>'FOGLIO DEPOSITO'!G92</f>
        <v>260</v>
      </c>
      <c r="H6" s="99">
        <f>'FOGLIO DEPOSITO'!H92</f>
        <v>5.6</v>
      </c>
      <c r="I6" s="99">
        <f>'FOGLIO DEPOSITO'!I92</f>
        <v>1740</v>
      </c>
      <c r="J6" s="99">
        <f>'FOGLIO DEPOSITO'!J92</f>
        <v>580</v>
      </c>
      <c r="K6" s="99">
        <f>'FOGLIO DEPOSITO'!K92</f>
        <v>21</v>
      </c>
      <c r="L6" s="11"/>
      <c r="M6" s="11"/>
      <c r="N6" s="11"/>
      <c r="O6" s="11"/>
      <c r="P6" s="11"/>
    </row>
    <row r="7" spans="2:16">
      <c r="B7" s="287" t="s">
        <v>24</v>
      </c>
      <c r="C7" s="287"/>
      <c r="D7" s="287"/>
      <c r="E7" s="287"/>
      <c r="F7" s="287"/>
      <c r="G7" s="99">
        <f>IF('FOGLIO DEPOSITO'!$F$192="SI",'FOGLIO DEPOSITO'!F196,'FOGLIO DEPOSITO'!G93)</f>
        <v>1</v>
      </c>
      <c r="H7" s="99">
        <f>IF('FOGLIO DEPOSITO'!$F$192="SI",'FOGLIO DEPOSITO'!F207,'FOGLIO DEPOSITO'!H93)</f>
        <v>1</v>
      </c>
      <c r="I7" s="99">
        <f>IF('FOGLIO DEPOSITO'!$F$192="SI",'FOGLIO DEPOSITO'!F218,'FOGLIO DEPOSITO'!I93)</f>
        <v>1</v>
      </c>
      <c r="J7" s="99">
        <f>IF('FOGLIO DEPOSITO'!$F$192="SI",'FOGLIO DEPOSITO'!F229,'FOGLIO DEPOSITO'!J93)</f>
        <v>1</v>
      </c>
      <c r="K7" s="99">
        <f>IF('FOGLIO DEPOSITO'!$F$192="SI",'FOGLIO DEPOSITO'!F240,'FOGLIO DEPOSITO'!K93)</f>
        <v>1</v>
      </c>
      <c r="L7" s="11"/>
      <c r="M7" s="11"/>
      <c r="N7" s="11"/>
      <c r="O7" s="11"/>
      <c r="P7" s="11"/>
    </row>
    <row r="8" spans="2:16">
      <c r="B8" s="287" t="s">
        <v>51</v>
      </c>
      <c r="C8" s="287"/>
      <c r="D8" s="287"/>
      <c r="E8" s="287"/>
      <c r="F8" s="287"/>
      <c r="G8" s="99">
        <f>IF('FOGLIO DEPOSITO'!$F$192="SI",'FOGLIO DEPOSITO'!F197,'FOGLIO DEPOSITO'!G94)</f>
        <v>1</v>
      </c>
      <c r="H8" s="99">
        <f>IF('FOGLIO DEPOSITO'!$F$192="SI",'FOGLIO DEPOSITO'!F208,'FOGLIO DEPOSITO'!H94)</f>
        <v>1</v>
      </c>
      <c r="I8" s="99">
        <f>IF('FOGLIO DEPOSITO'!$F$192="SI",'FOGLIO DEPOSITO'!F219,'FOGLIO DEPOSITO'!I94)</f>
        <v>1</v>
      </c>
      <c r="J8" s="99">
        <f>IF('FOGLIO DEPOSITO'!$F$192="SI",'FOGLIO DEPOSITO'!F230,'FOGLIO DEPOSITO'!J94)</f>
        <v>1</v>
      </c>
      <c r="K8" s="99">
        <f>IF('FOGLIO DEPOSITO'!$F$192="SI",'FOGLIO DEPOSITO'!F241,'FOGLIO DEPOSITO'!K94)</f>
        <v>1</v>
      </c>
      <c r="L8" s="11"/>
      <c r="M8" s="11"/>
      <c r="N8" s="11"/>
      <c r="O8" s="11"/>
      <c r="P8" s="11"/>
    </row>
    <row r="9" spans="2:16">
      <c r="B9" s="287" t="s">
        <v>52</v>
      </c>
      <c r="C9" s="287"/>
      <c r="D9" s="287"/>
      <c r="E9" s="287"/>
      <c r="F9" s="287"/>
      <c r="G9" s="99">
        <f>IF('FOGLIO DEPOSITO'!$F$192="SI",'FOGLIO DEPOSITO'!F198,'FOGLIO DEPOSITO'!G95)</f>
        <v>1</v>
      </c>
      <c r="H9" s="99">
        <f>IF('FOGLIO DEPOSITO'!$F$192="SI",'FOGLIO DEPOSITO'!F209,'FOGLIO DEPOSITO'!H95)</f>
        <v>1</v>
      </c>
      <c r="I9" s="99">
        <f>IF('FOGLIO DEPOSITO'!$F$192="SI",'FOGLIO DEPOSITO'!F220,'FOGLIO DEPOSITO'!I95)</f>
        <v>1</v>
      </c>
      <c r="J9" s="99">
        <f>IF('FOGLIO DEPOSITO'!$F$192="SI",'FOGLIO DEPOSITO'!F231,'FOGLIO DEPOSITO'!J95)</f>
        <v>1</v>
      </c>
      <c r="K9" s="99">
        <f>IF('FOGLIO DEPOSITO'!$F$192="SI",'FOGLIO DEPOSITO'!F242,'FOGLIO DEPOSITO'!K95)</f>
        <v>1</v>
      </c>
      <c r="L9" s="11"/>
      <c r="M9" s="11"/>
      <c r="N9" s="11"/>
      <c r="O9" s="11"/>
      <c r="P9" s="11"/>
    </row>
    <row r="10" spans="2:16">
      <c r="B10" s="287" t="s">
        <v>50</v>
      </c>
      <c r="C10" s="287"/>
      <c r="D10" s="287"/>
      <c r="E10" s="287"/>
      <c r="F10" s="287"/>
      <c r="G10" s="99">
        <f>IF('FOGLIO DEPOSITO'!$F$192="SI",'FOGLIO DEPOSITO'!F199,'FOGLIO DEPOSITO'!G96)</f>
        <v>1.3</v>
      </c>
      <c r="H10" s="99">
        <f>IF('FOGLIO DEPOSITO'!$F$192="SI",'FOGLIO DEPOSITO'!F210,'FOGLIO DEPOSITO'!H96)</f>
        <v>1.3</v>
      </c>
      <c r="I10" s="99">
        <f>IF('FOGLIO DEPOSITO'!$F$192="SI",'FOGLIO DEPOSITO'!F221,'FOGLIO DEPOSITO'!I96)</f>
        <v>1</v>
      </c>
      <c r="J10" s="99">
        <f>IF('FOGLIO DEPOSITO'!$F$192="SI",'FOGLIO DEPOSITO'!F232,'FOGLIO DEPOSITO'!J96)</f>
        <v>1</v>
      </c>
      <c r="K10" s="99">
        <f>IF('FOGLIO DEPOSITO'!$F$192="SI",'FOGLIO DEPOSITO'!F243,'FOGLIO DEPOSITO'!K96)</f>
        <v>1</v>
      </c>
      <c r="L10" s="11"/>
      <c r="M10" s="11"/>
      <c r="N10" s="11"/>
      <c r="O10" s="11"/>
      <c r="P10" s="11"/>
    </row>
    <row r="11" spans="2:16">
      <c r="B11" s="287" t="s">
        <v>53</v>
      </c>
      <c r="C11" s="287"/>
      <c r="D11" s="287"/>
      <c r="E11" s="287"/>
      <c r="F11" s="287"/>
      <c r="G11" s="99">
        <f>IF('FOGLIO DEPOSITO'!$F$192="SI",'FOGLIO DEPOSITO'!F200,'FOGLIO DEPOSITO'!G97)</f>
        <v>1</v>
      </c>
      <c r="H11" s="99">
        <f>IF('FOGLIO DEPOSITO'!$F$192="SI",'FOGLIO DEPOSITO'!F211,'FOGLIO DEPOSITO'!H97)</f>
        <v>1</v>
      </c>
      <c r="I11" s="99">
        <f>IF('FOGLIO DEPOSITO'!$F$192="SI",'FOGLIO DEPOSITO'!F222,'FOGLIO DEPOSITO'!I97)</f>
        <v>1</v>
      </c>
      <c r="J11" s="99">
        <f>IF('FOGLIO DEPOSITO'!$F$192="SI",'FOGLIO DEPOSITO'!F233,'FOGLIO DEPOSITO'!J97)</f>
        <v>1</v>
      </c>
      <c r="K11" s="99">
        <f>IF('FOGLIO DEPOSITO'!$F$192="SI",'FOGLIO DEPOSITO'!F244,'FOGLIO DEPOSITO'!K97)</f>
        <v>1</v>
      </c>
      <c r="L11" s="11"/>
      <c r="M11" s="11"/>
      <c r="N11" s="11"/>
      <c r="O11" s="11"/>
      <c r="P11" s="11"/>
    </row>
    <row r="12" spans="2:16">
      <c r="B12" s="284" t="s">
        <v>54</v>
      </c>
      <c r="C12" s="284"/>
      <c r="D12" s="284"/>
      <c r="E12" s="284"/>
      <c r="F12" s="284"/>
      <c r="G12" s="99">
        <f>IF('FOGLIO DEPOSITO'!$F$192="SI",'FOGLIO DEPOSITO'!F201,'FOGLIO DEPOSITO'!G98)</f>
        <v>1</v>
      </c>
      <c r="H12" s="99">
        <f>IF('FOGLIO DEPOSITO'!$F$192="SI",'FOGLIO DEPOSITO'!F212,'FOGLIO DEPOSITO'!H98)</f>
        <v>1</v>
      </c>
      <c r="I12" s="99">
        <f>IF('FOGLIO DEPOSITO'!$F$192="SI",'FOGLIO DEPOSITO'!F223,'FOGLIO DEPOSITO'!I98)</f>
        <v>1</v>
      </c>
      <c r="J12" s="99">
        <f>IF('FOGLIO DEPOSITO'!$F$192="SI",'FOGLIO DEPOSITO'!F234,'FOGLIO DEPOSITO'!J98)</f>
        <v>1</v>
      </c>
      <c r="K12" s="99">
        <f>IF('FOGLIO DEPOSITO'!$F$192="SI",'FOGLIO DEPOSITO'!F245,'FOGLIO DEPOSITO'!K98)</f>
        <v>1</v>
      </c>
      <c r="L12" s="11"/>
      <c r="M12" s="11"/>
      <c r="N12" s="11"/>
      <c r="O12" s="11"/>
      <c r="P12" s="11"/>
    </row>
    <row r="13" spans="2:16">
      <c r="B13" s="284" t="s">
        <v>93</v>
      </c>
      <c r="C13" s="284"/>
      <c r="D13" s="284"/>
      <c r="E13" s="284"/>
      <c r="F13" s="284"/>
      <c r="G13" s="99">
        <f>IF('FOGLIO DEPOSITO'!$F$192="SI",'FOGLIO DEPOSITO'!F202,'FOGLIO DEPOSITO'!G99)</f>
        <v>1</v>
      </c>
      <c r="H13" s="99">
        <f>IF('FOGLIO DEPOSITO'!$F$192="SI",'FOGLIO DEPOSITO'!F213,'FOGLIO DEPOSITO'!H99)</f>
        <v>1</v>
      </c>
      <c r="I13" s="99">
        <f>IF('FOGLIO DEPOSITO'!$F$192="SI",'FOGLIO DEPOSITO'!F224,'FOGLIO DEPOSITO'!I99)</f>
        <v>1</v>
      </c>
      <c r="J13" s="99">
        <f>IF('FOGLIO DEPOSITO'!$F$192="SI",'FOGLIO DEPOSITO'!F235,'FOGLIO DEPOSITO'!J99)</f>
        <v>1</v>
      </c>
      <c r="K13" s="99">
        <f>IF('FOGLIO DEPOSITO'!$F$192="SI",'FOGLIO DEPOSITO'!F246,'FOGLIO DEPOSITO'!K99)</f>
        <v>1</v>
      </c>
      <c r="L13" s="11"/>
      <c r="M13" s="11"/>
      <c r="N13" s="11"/>
      <c r="O13" s="11"/>
      <c r="P13" s="11"/>
    </row>
    <row r="14" spans="2:16">
      <c r="B14" s="284" t="s">
        <v>138</v>
      </c>
      <c r="C14" s="284"/>
      <c r="D14" s="284"/>
      <c r="E14" s="284"/>
      <c r="F14" s="284"/>
      <c r="G14" s="99">
        <v>1</v>
      </c>
      <c r="H14" s="99">
        <v>1</v>
      </c>
      <c r="I14" s="99">
        <f>'FOGLIO DEPOSITO'!M102</f>
        <v>0.75</v>
      </c>
      <c r="J14" s="99">
        <f>'FOGLIO DEPOSITO'!M102</f>
        <v>0.75</v>
      </c>
      <c r="K14" s="99">
        <v>1</v>
      </c>
      <c r="L14" s="11"/>
      <c r="M14" s="11"/>
      <c r="N14" s="11"/>
      <c r="O14" s="11"/>
      <c r="P14" s="11"/>
    </row>
    <row r="15" spans="2:16">
      <c r="B15" s="11"/>
      <c r="C15" s="11"/>
      <c r="D15" s="11"/>
      <c r="E15" s="11"/>
      <c r="F15" s="11"/>
      <c r="G15" s="100">
        <f>'FOGLIO DEPOSITO'!G102</f>
        <v>338</v>
      </c>
      <c r="H15" s="100">
        <f>'FOGLIO DEPOSITO'!H102</f>
        <v>7.2799999999999994</v>
      </c>
      <c r="I15" s="101">
        <f>'FOGLIO DEPOSITO'!I102*I14</f>
        <v>1305</v>
      </c>
      <c r="J15" s="101">
        <f>'FOGLIO DEPOSITO'!J102*J14</f>
        <v>435</v>
      </c>
      <c r="K15" s="102">
        <f>'FOGLIO DEPOSITO'!K102</f>
        <v>21</v>
      </c>
      <c r="L15" s="11"/>
      <c r="M15" s="11"/>
      <c r="N15" s="11"/>
      <c r="O15" s="11"/>
      <c r="P15" s="11"/>
    </row>
    <row r="16" spans="2:16" s="3" customFormat="1">
      <c r="B16" s="11"/>
      <c r="C16" s="11"/>
      <c r="D16" s="11"/>
      <c r="E16" s="11"/>
      <c r="F16" s="11"/>
      <c r="G16" s="11"/>
      <c r="H16" s="11"/>
      <c r="I16" s="11"/>
      <c r="J16" s="11"/>
      <c r="K16" s="11"/>
      <c r="L16" s="11"/>
      <c r="M16" s="11"/>
      <c r="N16" s="11"/>
      <c r="O16" s="11"/>
      <c r="P16" s="11"/>
    </row>
    <row r="17" spans="2:24">
      <c r="B17" s="11"/>
      <c r="C17" s="11"/>
      <c r="D17" s="11"/>
      <c r="E17" s="11"/>
      <c r="F17" s="11"/>
      <c r="G17" s="11"/>
      <c r="H17" s="11"/>
      <c r="I17" s="11"/>
      <c r="J17" s="11"/>
      <c r="K17" s="11"/>
      <c r="L17" s="11"/>
      <c r="M17" s="11"/>
      <c r="N17" s="11"/>
      <c r="O17" s="103"/>
      <c r="P17" s="103"/>
      <c r="Q17" s="80"/>
      <c r="R17" s="80"/>
      <c r="S17" s="80"/>
      <c r="T17" s="80"/>
      <c r="U17" s="80"/>
      <c r="V17" s="80"/>
      <c r="W17" s="80"/>
      <c r="X17" s="80"/>
    </row>
    <row r="18" spans="2:24">
      <c r="B18" s="11" t="s">
        <v>94</v>
      </c>
      <c r="C18" s="11"/>
      <c r="D18" s="11"/>
      <c r="E18" s="11"/>
      <c r="F18" s="11"/>
      <c r="G18" s="11"/>
      <c r="H18" s="11"/>
      <c r="I18" s="83" t="s">
        <v>7</v>
      </c>
      <c r="J18" s="104">
        <f>K15</f>
        <v>21</v>
      </c>
      <c r="K18" s="105">
        <f>J18/10</f>
        <v>2.1</v>
      </c>
      <c r="L18" s="11"/>
      <c r="M18" s="11"/>
      <c r="N18" s="11"/>
      <c r="O18" s="11"/>
      <c r="P18" s="11"/>
    </row>
    <row r="19" spans="2:24" ht="18.75">
      <c r="B19" s="11" t="s">
        <v>95</v>
      </c>
      <c r="C19" s="11"/>
      <c r="D19" s="11"/>
      <c r="E19" s="11"/>
      <c r="F19" s="11"/>
      <c r="G19" s="11"/>
      <c r="H19" s="11"/>
      <c r="I19" s="55" t="s">
        <v>8</v>
      </c>
      <c r="J19" s="106">
        <f>G15*10</f>
        <v>3380</v>
      </c>
      <c r="K19" s="107">
        <f>J19/1000</f>
        <v>3.38</v>
      </c>
      <c r="L19" s="11"/>
      <c r="M19" s="11"/>
      <c r="N19" s="11"/>
      <c r="O19" s="11"/>
      <c r="P19" s="11"/>
    </row>
    <row r="20" spans="2:24" ht="18.75">
      <c r="B20" s="11" t="s">
        <v>96</v>
      </c>
      <c r="C20" s="11"/>
      <c r="D20" s="11"/>
      <c r="E20" s="11"/>
      <c r="F20" s="11"/>
      <c r="G20" s="11"/>
      <c r="H20" s="11"/>
      <c r="I20" s="108" t="s">
        <v>61</v>
      </c>
      <c r="J20" s="106">
        <f>H15*10</f>
        <v>72.8</v>
      </c>
      <c r="K20" s="107">
        <f>J20/1000</f>
        <v>7.2800000000000004E-2</v>
      </c>
      <c r="L20" s="11"/>
      <c r="M20" s="11"/>
      <c r="N20" s="11"/>
      <c r="O20" s="11"/>
      <c r="P20" s="11"/>
    </row>
    <row r="21" spans="2:24">
      <c r="B21" s="11"/>
      <c r="C21" s="11"/>
      <c r="D21" s="11"/>
      <c r="E21" s="11"/>
      <c r="F21" s="11"/>
      <c r="G21" s="11"/>
      <c r="H21" s="11"/>
      <c r="I21" s="109"/>
      <c r="J21" s="56"/>
      <c r="K21" s="107"/>
      <c r="L21" s="11"/>
      <c r="M21" s="11"/>
      <c r="N21" s="11"/>
      <c r="O21" s="11"/>
      <c r="P21" s="11"/>
    </row>
    <row r="22" spans="2:24" ht="18.75">
      <c r="B22" s="11" t="s">
        <v>97</v>
      </c>
      <c r="C22" s="11"/>
      <c r="D22" s="11"/>
      <c r="E22" s="11"/>
      <c r="F22" s="11"/>
      <c r="G22" s="11"/>
      <c r="H22" s="11"/>
      <c r="I22" s="55" t="s">
        <v>14</v>
      </c>
      <c r="J22" s="110">
        <f>J19/(J29*J30)</f>
        <v>1251.8518518518517</v>
      </c>
      <c r="K22" s="107">
        <f t="shared" ref="K22:K23" si="0">J22/1000</f>
        <v>1.2518518518518518</v>
      </c>
      <c r="L22" s="11"/>
      <c r="M22" s="11"/>
      <c r="N22" s="11"/>
      <c r="O22" s="11"/>
      <c r="P22" s="11"/>
    </row>
    <row r="23" spans="2:24" ht="18.75">
      <c r="B23" s="11" t="s">
        <v>98</v>
      </c>
      <c r="C23" s="11"/>
      <c r="D23" s="11"/>
      <c r="E23" s="11"/>
      <c r="F23" s="11"/>
      <c r="G23" s="11"/>
      <c r="H23" s="11"/>
      <c r="I23" s="108" t="s">
        <v>3</v>
      </c>
      <c r="J23" s="110">
        <f>H15*10/(J29*J30)</f>
        <v>26.962962962962962</v>
      </c>
      <c r="K23" s="107">
        <f t="shared" si="0"/>
        <v>2.6962962962962963E-2</v>
      </c>
      <c r="L23" s="11"/>
      <c r="M23" s="11"/>
      <c r="N23" s="11"/>
      <c r="O23" s="11"/>
      <c r="P23" s="11"/>
    </row>
    <row r="24" spans="2:24" ht="17.25" customHeight="1">
      <c r="B24" s="11"/>
      <c r="C24" s="11"/>
      <c r="D24" s="11"/>
      <c r="E24" s="11"/>
      <c r="F24" s="11"/>
      <c r="G24" s="11"/>
      <c r="H24" s="11"/>
      <c r="I24" s="109"/>
      <c r="J24" s="11"/>
      <c r="K24" s="11"/>
      <c r="L24" s="11"/>
      <c r="M24" s="11"/>
      <c r="N24" s="11"/>
      <c r="O24" s="11"/>
      <c r="P24" s="11"/>
    </row>
    <row r="25" spans="2:24">
      <c r="B25" s="11" t="s">
        <v>135</v>
      </c>
      <c r="C25" s="11"/>
      <c r="D25" s="11"/>
      <c r="E25" s="11"/>
      <c r="F25" s="11"/>
      <c r="G25" s="11"/>
      <c r="H25" s="11"/>
      <c r="I25" s="83" t="s">
        <v>62</v>
      </c>
      <c r="J25" s="111">
        <f>I15</f>
        <v>1305</v>
      </c>
      <c r="K25" s="112">
        <f>J25*1000</f>
        <v>1305000</v>
      </c>
      <c r="L25" s="11"/>
      <c r="M25" s="11"/>
      <c r="N25" s="11"/>
      <c r="O25" s="11"/>
      <c r="P25" s="11"/>
    </row>
    <row r="26" spans="2:24">
      <c r="B26" s="11" t="s">
        <v>101</v>
      </c>
      <c r="C26" s="11"/>
      <c r="D26" s="11"/>
      <c r="E26" s="11"/>
      <c r="F26" s="11"/>
      <c r="G26" s="11"/>
      <c r="H26" s="11"/>
      <c r="I26" s="83" t="s">
        <v>63</v>
      </c>
      <c r="J26" s="111">
        <f>J15</f>
        <v>435</v>
      </c>
      <c r="K26" s="112">
        <f>J26*1000</f>
        <v>435000</v>
      </c>
      <c r="L26" s="113"/>
      <c r="M26" s="11"/>
      <c r="N26" s="11"/>
      <c r="O26" s="11"/>
      <c r="P26" s="11"/>
    </row>
    <row r="27" spans="2:24">
      <c r="B27" s="11"/>
      <c r="C27" s="11"/>
      <c r="D27" s="11"/>
      <c r="E27" s="11"/>
      <c r="F27" s="11"/>
      <c r="G27" s="11"/>
      <c r="H27" s="11"/>
      <c r="I27" s="11"/>
      <c r="J27" s="114"/>
      <c r="K27" s="11"/>
      <c r="L27" s="11"/>
      <c r="M27" s="11"/>
      <c r="N27" s="11"/>
      <c r="O27" s="11"/>
      <c r="P27" s="11"/>
    </row>
    <row r="28" spans="2:24">
      <c r="B28" s="11"/>
      <c r="C28" s="11"/>
      <c r="D28" s="11"/>
      <c r="E28" s="11"/>
      <c r="F28" s="11"/>
      <c r="G28" s="11"/>
      <c r="H28" s="11"/>
      <c r="I28" s="11"/>
      <c r="J28" s="11"/>
      <c r="K28" s="11"/>
      <c r="L28" s="11"/>
      <c r="M28" s="11"/>
      <c r="N28" s="11"/>
      <c r="O28" s="11"/>
      <c r="P28" s="11"/>
    </row>
    <row r="29" spans="2:24">
      <c r="B29" s="11" t="s">
        <v>44</v>
      </c>
      <c r="C29" s="11"/>
      <c r="D29" s="11"/>
      <c r="E29" s="11"/>
      <c r="F29" s="11"/>
      <c r="G29" s="11"/>
      <c r="H29" s="11"/>
      <c r="I29" s="115" t="s">
        <v>0</v>
      </c>
      <c r="J29" s="56">
        <f>'FOGLIO DEPOSITO'!F168</f>
        <v>1.35</v>
      </c>
      <c r="K29" s="11"/>
      <c r="L29" s="11"/>
      <c r="M29" s="11"/>
      <c r="N29" s="11"/>
      <c r="O29" s="11"/>
      <c r="P29" s="11"/>
    </row>
    <row r="30" spans="2:24" ht="18.75">
      <c r="B30" s="11" t="s">
        <v>99</v>
      </c>
      <c r="C30" s="11"/>
      <c r="D30" s="11"/>
      <c r="E30" s="11"/>
      <c r="F30" s="11"/>
      <c r="G30" s="11"/>
      <c r="H30" s="11"/>
      <c r="I30" s="116" t="s">
        <v>6</v>
      </c>
      <c r="J30" s="54">
        <f>'FOGLIO DEPOSITO'!F187</f>
        <v>2</v>
      </c>
      <c r="K30" s="11"/>
      <c r="L30" s="11"/>
      <c r="M30" s="11"/>
      <c r="N30" s="11"/>
      <c r="O30" s="11"/>
      <c r="P30" s="11"/>
    </row>
    <row r="31" spans="2:24">
      <c r="B31" s="11"/>
      <c r="C31" s="11"/>
      <c r="D31" s="11"/>
      <c r="E31" s="11"/>
      <c r="F31" s="11"/>
      <c r="G31" s="11"/>
      <c r="H31" s="11"/>
      <c r="I31" s="11"/>
      <c r="J31" s="11"/>
      <c r="K31" s="11"/>
      <c r="L31" s="11"/>
      <c r="M31" s="11"/>
      <c r="N31" s="11"/>
      <c r="O31" s="11"/>
      <c r="P31" s="11"/>
    </row>
    <row r="32" spans="2:24">
      <c r="B32" s="11"/>
      <c r="C32" s="11"/>
      <c r="D32" s="11"/>
      <c r="E32" s="11"/>
      <c r="F32" s="11"/>
      <c r="G32" s="11"/>
      <c r="H32" s="11"/>
      <c r="I32" s="11"/>
      <c r="J32" s="11"/>
      <c r="K32" s="11"/>
      <c r="L32" s="11"/>
      <c r="M32" s="11"/>
      <c r="N32" s="11"/>
      <c r="O32" s="11"/>
      <c r="P32" s="11"/>
    </row>
    <row r="33" spans="2:16">
      <c r="B33" s="11"/>
      <c r="C33" s="11"/>
      <c r="D33" s="11"/>
      <c r="E33" s="11"/>
      <c r="F33" s="11"/>
      <c r="G33" s="11"/>
      <c r="H33" s="11"/>
      <c r="I33" s="11"/>
      <c r="J33" s="11"/>
      <c r="K33" s="11"/>
      <c r="L33" s="11"/>
      <c r="M33" s="11"/>
      <c r="N33" s="11"/>
      <c r="O33" s="11"/>
      <c r="P33" s="11"/>
    </row>
    <row r="34" spans="2:16">
      <c r="B34" s="11"/>
      <c r="C34" s="11"/>
      <c r="D34" s="11"/>
      <c r="E34" s="11"/>
      <c r="F34" s="11"/>
      <c r="G34" s="11"/>
      <c r="H34" s="11"/>
      <c r="I34" s="11"/>
      <c r="J34" s="11"/>
      <c r="K34" s="11"/>
      <c r="L34" s="11"/>
      <c r="M34" s="11"/>
      <c r="N34" s="11"/>
      <c r="O34" s="11"/>
      <c r="P34" s="11"/>
    </row>
    <row r="35" spans="2:16">
      <c r="B35" s="11"/>
      <c r="C35" s="11"/>
      <c r="D35" s="11"/>
      <c r="E35" s="11"/>
      <c r="F35" s="11"/>
      <c r="G35" s="11"/>
      <c r="H35" s="11"/>
      <c r="I35" s="11"/>
      <c r="J35" s="11"/>
      <c r="K35" s="11"/>
      <c r="L35" s="11"/>
      <c r="M35" s="11"/>
      <c r="N35" s="11"/>
      <c r="O35" s="11"/>
      <c r="P35" s="11"/>
    </row>
    <row r="36" spans="2:16">
      <c r="B36" s="11"/>
      <c r="C36" s="11"/>
      <c r="D36" s="11"/>
      <c r="E36" s="11"/>
      <c r="F36" s="11"/>
      <c r="G36" s="11"/>
      <c r="H36" s="11"/>
      <c r="I36" s="11"/>
      <c r="J36" s="11"/>
      <c r="K36" s="11"/>
      <c r="L36" s="11"/>
      <c r="M36" s="11"/>
      <c r="N36" s="11"/>
      <c r="O36" s="11"/>
      <c r="P36" s="11"/>
    </row>
    <row r="37" spans="2:16">
      <c r="B37" s="11"/>
      <c r="C37" s="11"/>
      <c r="D37" s="11"/>
      <c r="E37" s="11"/>
      <c r="F37" s="11"/>
      <c r="G37" s="11"/>
      <c r="H37" s="11"/>
      <c r="I37" s="11"/>
      <c r="J37" s="11"/>
      <c r="K37" s="11"/>
      <c r="L37" s="11"/>
      <c r="M37" s="11"/>
      <c r="N37" s="11"/>
      <c r="O37" s="11"/>
      <c r="P37" s="11"/>
    </row>
    <row r="38" spans="2:16">
      <c r="B38" s="11"/>
      <c r="C38" s="11"/>
      <c r="D38" s="11"/>
      <c r="E38" s="11"/>
      <c r="F38" s="11"/>
      <c r="G38" s="11"/>
      <c r="H38" s="11"/>
      <c r="I38" s="11"/>
      <c r="J38" s="11"/>
      <c r="K38" s="11"/>
      <c r="L38" s="11"/>
      <c r="M38" s="11"/>
      <c r="N38" s="11"/>
      <c r="O38" s="11"/>
      <c r="P38" s="11"/>
    </row>
    <row r="39" spans="2:16">
      <c r="B39" s="11"/>
      <c r="C39" s="11"/>
      <c r="D39" s="11"/>
      <c r="E39" s="11"/>
      <c r="F39" s="11"/>
      <c r="G39" s="11"/>
      <c r="H39" s="11"/>
      <c r="I39" s="11"/>
      <c r="J39" s="11"/>
      <c r="K39" s="11"/>
      <c r="L39" s="11"/>
      <c r="M39" s="11"/>
      <c r="N39" s="11"/>
      <c r="O39" s="11"/>
      <c r="P39" s="11"/>
    </row>
    <row r="40" spans="2:16">
      <c r="B40" s="11"/>
      <c r="C40" s="11"/>
      <c r="D40" s="11"/>
      <c r="E40" s="11"/>
      <c r="F40" s="11"/>
      <c r="G40" s="11"/>
      <c r="H40" s="11"/>
      <c r="I40" s="11"/>
      <c r="J40" s="11"/>
      <c r="K40" s="11"/>
      <c r="L40" s="11"/>
      <c r="M40" s="11"/>
      <c r="N40" s="11"/>
      <c r="O40" s="11"/>
      <c r="P40" s="11"/>
    </row>
    <row r="41" spans="2:16">
      <c r="B41" s="11"/>
      <c r="C41" s="11"/>
      <c r="D41" s="11"/>
      <c r="E41" s="11"/>
      <c r="F41" s="11"/>
      <c r="G41" s="11"/>
      <c r="H41" s="54"/>
      <c r="I41" s="11"/>
      <c r="J41" s="11"/>
      <c r="K41" s="11"/>
      <c r="L41" s="11"/>
      <c r="M41" s="11"/>
      <c r="N41" s="11"/>
      <c r="O41" s="11"/>
      <c r="P41" s="11"/>
    </row>
    <row r="42" spans="2:16">
      <c r="B42" s="11"/>
      <c r="C42" s="11"/>
      <c r="D42" s="11"/>
      <c r="E42" s="11"/>
      <c r="F42" s="11"/>
      <c r="G42" s="11"/>
      <c r="H42" s="11"/>
      <c r="I42" s="11"/>
      <c r="J42" s="11"/>
      <c r="K42" s="11"/>
      <c r="L42" s="11"/>
      <c r="M42" s="11"/>
      <c r="N42" s="11"/>
      <c r="O42" s="11"/>
      <c r="P42" s="11"/>
    </row>
    <row r="43" spans="2:16">
      <c r="B43" s="11"/>
      <c r="C43" s="11"/>
      <c r="D43" s="11"/>
      <c r="E43" s="11"/>
      <c r="F43" s="11"/>
      <c r="G43" s="11"/>
      <c r="H43" s="54"/>
      <c r="I43" s="11"/>
      <c r="J43" s="11"/>
      <c r="K43" s="11"/>
      <c r="L43" s="11"/>
      <c r="M43" s="11"/>
      <c r="N43" s="11"/>
      <c r="O43" s="11"/>
      <c r="P43" s="11"/>
    </row>
    <row r="44" spans="2:16">
      <c r="B44" s="11"/>
      <c r="C44" s="11"/>
      <c r="D44" s="11"/>
      <c r="E44" s="11"/>
      <c r="F44" s="11"/>
      <c r="G44" s="11"/>
      <c r="H44" s="11"/>
      <c r="I44" s="11"/>
      <c r="J44" s="11"/>
      <c r="K44" s="11"/>
      <c r="L44" s="11"/>
      <c r="M44" s="11"/>
      <c r="N44" s="11"/>
      <c r="O44" s="11"/>
      <c r="P44" s="11"/>
    </row>
    <row r="45" spans="2:16">
      <c r="B45" s="11"/>
      <c r="C45" s="11"/>
      <c r="D45" s="11"/>
      <c r="E45" s="11"/>
      <c r="F45" s="11"/>
      <c r="G45" s="11"/>
      <c r="H45" s="54"/>
      <c r="I45" s="11"/>
      <c r="J45" s="11"/>
      <c r="K45" s="11"/>
      <c r="L45" s="11"/>
      <c r="M45" s="11"/>
      <c r="N45" s="11"/>
      <c r="O45" s="11"/>
      <c r="P45" s="11"/>
    </row>
    <row r="46" spans="2:16">
      <c r="B46" s="11"/>
      <c r="C46" s="11"/>
      <c r="D46" s="11"/>
      <c r="E46" s="11"/>
      <c r="F46" s="11"/>
      <c r="G46" s="11"/>
      <c r="H46" s="11"/>
      <c r="I46" s="11"/>
      <c r="J46" s="11"/>
      <c r="K46" s="11"/>
      <c r="L46" s="11"/>
      <c r="M46" s="11"/>
      <c r="N46" s="11"/>
      <c r="O46" s="11"/>
      <c r="P46" s="11"/>
    </row>
    <row r="47" spans="2:16">
      <c r="B47" s="11"/>
      <c r="C47" s="11"/>
      <c r="D47" s="11"/>
      <c r="E47" s="11"/>
      <c r="F47" s="11"/>
      <c r="G47" s="11"/>
      <c r="H47" s="54"/>
      <c r="I47" s="11"/>
      <c r="J47" s="11"/>
      <c r="K47" s="11"/>
      <c r="L47" s="11"/>
      <c r="M47" s="11"/>
      <c r="N47" s="11"/>
      <c r="O47" s="11"/>
      <c r="P47" s="11"/>
    </row>
    <row r="49" spans="8:8">
      <c r="H49" s="1"/>
    </row>
  </sheetData>
  <customSheetViews>
    <customSheetView guid="{2499ACAE-A2C7-4F7F-900A-65021AFAF04C}" scale="90" showGridLines="0" showRowCol="0" fitToPage="1" state="hidden">
      <selection activeCell="U30" sqref="U30"/>
      <pageMargins left="0.7" right="0.7" top="0.75" bottom="0.75" header="0.3" footer="0.3"/>
      <pageSetup paperSize="9" orientation="landscape" r:id="rId1"/>
    </customSheetView>
    <customSheetView guid="{4556642F-611B-4273-921A-A5552A57B1F5}" scale="90" showGridLines="0" showRowCol="0" fitToPage="1">
      <selection activeCell="B2" sqref="B2:K2"/>
      <pageMargins left="0.7" right="0.7" top="0.75" bottom="0.75" header="0.3" footer="0.3"/>
      <pageSetup paperSize="9" orientation="landscape" r:id="rId2"/>
    </customSheetView>
    <customSheetView guid="{4F428F85-A986-464A-BD5B-D43EDDD1A16A}" scale="90" showGridLines="0" showRowCol="0" fitToPage="1">
      <selection activeCell="B2" sqref="B2:K2"/>
      <pageMargins left="0.7" right="0.7" top="0.75" bottom="0.75" header="0.3" footer="0.3"/>
      <pageSetup paperSize="9" orientation="landscape" r:id="rId3"/>
    </customSheetView>
  </customSheetViews>
  <mergeCells count="15">
    <mergeCell ref="H4:H5"/>
    <mergeCell ref="I4:I5"/>
    <mergeCell ref="J4:J5"/>
    <mergeCell ref="K4:K5"/>
    <mergeCell ref="B2:K2"/>
    <mergeCell ref="B14:F14"/>
    <mergeCell ref="B12:F12"/>
    <mergeCell ref="B13:F13"/>
    <mergeCell ref="B4:F6"/>
    <mergeCell ref="G4:G5"/>
    <mergeCell ref="B7:F7"/>
    <mergeCell ref="B8:F8"/>
    <mergeCell ref="B9:F9"/>
    <mergeCell ref="B10:F10"/>
    <mergeCell ref="B11:F11"/>
  </mergeCells>
  <pageMargins left="0.7" right="0.7" top="0.75" bottom="0.75" header="0.3" footer="0.3"/>
  <pageSetup paperSize="9" orientation="landscap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Q51"/>
  <sheetViews>
    <sheetView showGridLines="0" showRowColHeaders="0" zoomScale="90" zoomScaleNormal="90" workbookViewId="0">
      <selection activeCell="B2" sqref="B2:L2"/>
    </sheetView>
  </sheetViews>
  <sheetFormatPr defaultRowHeight="15"/>
  <cols>
    <col min="1" max="1" width="3.140625" style="3" customWidth="1"/>
    <col min="2" max="5" width="9.140625" style="3"/>
    <col min="6" max="6" width="9.140625" style="3" customWidth="1"/>
    <col min="7" max="10" width="14.5703125" style="3" customWidth="1"/>
    <col min="11" max="11" width="17.140625" style="3" customWidth="1"/>
    <col min="12" max="12" width="14.5703125" style="3" customWidth="1"/>
    <col min="13" max="15" width="9.140625" style="3"/>
    <col min="16" max="16" width="20.42578125" style="3" customWidth="1"/>
    <col min="17" max="20" width="9.140625" style="3"/>
    <col min="21" max="25" width="14.85546875" style="3" customWidth="1"/>
    <col min="26" max="16384" width="9.140625" style="3"/>
  </cols>
  <sheetData>
    <row r="1" spans="2:17">
      <c r="B1" s="11"/>
      <c r="C1" s="11"/>
      <c r="D1" s="11"/>
      <c r="E1" s="11"/>
      <c r="F1" s="11"/>
      <c r="G1" s="11"/>
      <c r="H1" s="11"/>
      <c r="I1" s="11"/>
      <c r="J1" s="11"/>
      <c r="K1" s="11"/>
      <c r="L1" s="11"/>
      <c r="M1" s="11"/>
      <c r="N1" s="11"/>
      <c r="O1" s="11"/>
      <c r="P1" s="11"/>
      <c r="Q1" s="11"/>
    </row>
    <row r="2" spans="2:17">
      <c r="B2" s="288" t="s">
        <v>470</v>
      </c>
      <c r="C2" s="288"/>
      <c r="D2" s="288"/>
      <c r="E2" s="288"/>
      <c r="F2" s="288"/>
      <c r="G2" s="288"/>
      <c r="H2" s="288"/>
      <c r="I2" s="288"/>
      <c r="J2" s="288"/>
      <c r="K2" s="288"/>
      <c r="L2" s="288"/>
      <c r="M2" s="11"/>
      <c r="N2" s="11"/>
      <c r="O2" s="11"/>
      <c r="P2" s="11"/>
      <c r="Q2" s="11"/>
    </row>
    <row r="3" spans="2:17">
      <c r="B3" s="11"/>
      <c r="C3" s="11"/>
      <c r="D3" s="11"/>
      <c r="E3" s="11"/>
      <c r="F3" s="11"/>
      <c r="G3" s="11"/>
      <c r="H3" s="11"/>
      <c r="I3" s="11"/>
      <c r="J3" s="11"/>
      <c r="K3" s="11"/>
      <c r="L3" s="11"/>
      <c r="M3" s="11"/>
      <c r="N3" s="11"/>
      <c r="O3" s="11"/>
      <c r="P3" s="11"/>
      <c r="Q3" s="11"/>
    </row>
    <row r="4" spans="2:17">
      <c r="B4" s="285" t="str">
        <f>'FOGLIO DEPOSITO-muraturaC7-19'!B82</f>
        <v>Muratura a blocchi lapidei squadrati</v>
      </c>
      <c r="C4" s="285"/>
      <c r="D4" s="285"/>
      <c r="E4" s="285"/>
      <c r="F4" s="285"/>
      <c r="G4" s="286" t="s">
        <v>19</v>
      </c>
      <c r="H4" s="286" t="s">
        <v>20</v>
      </c>
      <c r="I4" s="289" t="s">
        <v>471</v>
      </c>
      <c r="J4" s="286" t="s">
        <v>21</v>
      </c>
      <c r="K4" s="286" t="s">
        <v>22</v>
      </c>
      <c r="L4" s="286" t="s">
        <v>23</v>
      </c>
      <c r="N4" s="11"/>
      <c r="O4" s="11"/>
      <c r="P4" s="11"/>
      <c r="Q4" s="11"/>
    </row>
    <row r="5" spans="2:17">
      <c r="B5" s="285"/>
      <c r="C5" s="285"/>
      <c r="D5" s="285"/>
      <c r="E5" s="285"/>
      <c r="F5" s="285"/>
      <c r="G5" s="286"/>
      <c r="H5" s="286"/>
      <c r="I5" s="290"/>
      <c r="J5" s="286"/>
      <c r="K5" s="286"/>
      <c r="L5" s="286"/>
      <c r="N5" s="11"/>
      <c r="O5" s="11"/>
      <c r="P5" s="11"/>
      <c r="Q5" s="11"/>
    </row>
    <row r="6" spans="2:17" ht="15" customHeight="1">
      <c r="B6" s="285"/>
      <c r="C6" s="285"/>
      <c r="D6" s="285"/>
      <c r="E6" s="285"/>
      <c r="F6" s="285"/>
      <c r="G6" s="99">
        <f>'FOGLIO DEPOSITO-muraturaC7-19'!H84</f>
        <v>580</v>
      </c>
      <c r="H6" s="99">
        <f>'FOGLIO DEPOSITO-muraturaC7-19'!I84</f>
        <v>9</v>
      </c>
      <c r="I6" s="99">
        <f>'FOGLIO DEPOSITO-muraturaC7-19'!J84</f>
        <v>18</v>
      </c>
      <c r="J6" s="99">
        <f>'FOGLIO DEPOSITO-muraturaC7-19'!K84</f>
        <v>2850</v>
      </c>
      <c r="K6" s="99">
        <f>'FOGLIO DEPOSITO-muraturaC7-19'!L84</f>
        <v>950</v>
      </c>
      <c r="L6" s="99">
        <f>'FOGLIO DEPOSITO-muraturaC7-19'!M84</f>
        <v>22</v>
      </c>
      <c r="N6" s="11"/>
      <c r="O6" s="11"/>
      <c r="P6" s="11"/>
      <c r="Q6" s="11"/>
    </row>
    <row r="7" spans="2:17">
      <c r="B7" s="287" t="s">
        <v>24</v>
      </c>
      <c r="C7" s="287"/>
      <c r="D7" s="287"/>
      <c r="E7" s="287"/>
      <c r="F7" s="287"/>
      <c r="G7" s="99">
        <f>IF(DATI!$F$59="SI",DATI!F63,'FOGLIO DEPOSITO-muraturaC7-19'!H85)</f>
        <v>1</v>
      </c>
      <c r="H7" s="99">
        <f>IF(DATI!$F$59="SI",DATI!F75,'FOGLIO DEPOSITO-muraturaC7-19'!I85)</f>
        <v>1</v>
      </c>
      <c r="I7" s="99">
        <f>IF(DATI!$F$59="SI",DATI!F87,'FOGLIO DEPOSITO-muraturaC7-19'!J85)</f>
        <v>1</v>
      </c>
      <c r="J7" s="99">
        <f>IF(DATI!$F$59="SI",DATI!F99,'FOGLIO DEPOSITO-muraturaC7-19'!K85)</f>
        <v>1</v>
      </c>
      <c r="K7" s="99">
        <f>IF(DATI!$F$59="SI",DATI!F111,'FOGLIO DEPOSITO-muraturaC7-19'!L85)</f>
        <v>1</v>
      </c>
      <c r="L7" s="99">
        <f>IF(DATI!$F$59="SI",DATI!F123,'FOGLIO DEPOSITO-muraturaC7-19'!M85)</f>
        <v>1</v>
      </c>
      <c r="N7" s="11"/>
      <c r="O7" s="11"/>
      <c r="P7" s="11"/>
      <c r="Q7" s="11"/>
    </row>
    <row r="8" spans="2:17">
      <c r="B8" s="287" t="s">
        <v>52</v>
      </c>
      <c r="C8" s="287"/>
      <c r="D8" s="287"/>
      <c r="E8" s="287"/>
      <c r="F8" s="287"/>
      <c r="G8" s="99">
        <f>IF(DATI!$F$59="SI",DATI!F64,'FOGLIO DEPOSITO-muraturaC7-19'!H87)</f>
        <v>1</v>
      </c>
      <c r="H8" s="99">
        <f>IF(DATI!$F$59="SI",DATI!F76,'FOGLIO DEPOSITO-muraturaC7-19'!I87)</f>
        <v>1</v>
      </c>
      <c r="I8" s="99">
        <f>IF(DATI!$F$59="SI",DATI!F88,'FOGLIO DEPOSITO-muraturaC7-19'!J87)</f>
        <v>1</v>
      </c>
      <c r="J8" s="99">
        <f>IF(DATI!$F$59="SI",DATI!F100,'FOGLIO DEPOSITO-muraturaC7-19'!K87)</f>
        <v>1</v>
      </c>
      <c r="K8" s="99">
        <f>IF(DATI!$F$59="SI",DATI!F112,'FOGLIO DEPOSITO-muraturaC7-19'!L87)</f>
        <v>1</v>
      </c>
      <c r="L8" s="99">
        <f>IF(DATI!$F$59="SI",DATI!F124,'FOGLIO DEPOSITO-muraturaC7-19'!M87)</f>
        <v>1</v>
      </c>
      <c r="N8" s="11"/>
      <c r="O8" s="11"/>
      <c r="P8" s="11"/>
      <c r="Q8" s="11"/>
    </row>
    <row r="9" spans="2:17">
      <c r="B9" s="287" t="s">
        <v>50</v>
      </c>
      <c r="C9" s="287"/>
      <c r="D9" s="287"/>
      <c r="E9" s="287"/>
      <c r="F9" s="287"/>
      <c r="G9" s="99">
        <f>IF(DATI!$F$59="SI",DATI!F65,'FOGLIO DEPOSITO-muraturaC7-19'!H88)</f>
        <v>1</v>
      </c>
      <c r="H9" s="99">
        <f>IF(DATI!$F$59="SI",DATI!F77,'FOGLIO DEPOSITO-muraturaC7-19'!I88)</f>
        <v>1</v>
      </c>
      <c r="I9" s="99">
        <f>IF(DATI!$F$59="SI",DATI!F89,'FOGLIO DEPOSITO-muraturaC7-19'!J88)</f>
        <v>1</v>
      </c>
      <c r="J9" s="99">
        <f>IF(DATI!$F$59="SI",DATI!F101,'FOGLIO DEPOSITO-muraturaC7-19'!K88)</f>
        <v>1</v>
      </c>
      <c r="K9" s="99">
        <f>IF(DATI!$F$59="SI",DATI!F113,'FOGLIO DEPOSITO-muraturaC7-19'!L88)</f>
        <v>1</v>
      </c>
      <c r="L9" s="99">
        <f>IF(DATI!$F$59="SI",DATI!F125,'FOGLIO DEPOSITO-muraturaC7-19'!M88)</f>
        <v>1</v>
      </c>
      <c r="N9" s="11"/>
      <c r="O9" s="11"/>
      <c r="P9" s="11"/>
      <c r="Q9" s="11"/>
    </row>
    <row r="10" spans="2:17">
      <c r="B10" s="284" t="s">
        <v>54</v>
      </c>
      <c r="C10" s="284"/>
      <c r="D10" s="284"/>
      <c r="E10" s="284"/>
      <c r="F10" s="284"/>
      <c r="G10" s="99">
        <f>IF(DATI!$F$59="SI",DATI!F67,'FOGLIO DEPOSITO-muraturaC7-19'!H90)</f>
        <v>1</v>
      </c>
      <c r="H10" s="99">
        <f>IF(DATI!$F$59="SI",DATI!F79,'FOGLIO DEPOSITO-muraturaC7-19'!I90)</f>
        <v>1</v>
      </c>
      <c r="I10" s="99">
        <f>IF(DATI!$F$59="SI",DATI!F91,'FOGLIO DEPOSITO-muraturaC7-19'!J90)</f>
        <v>1</v>
      </c>
      <c r="J10" s="99">
        <f>IF(DATI!$F$59="SI",DATI!F103,'FOGLIO DEPOSITO-muraturaC7-19'!K90)</f>
        <v>1</v>
      </c>
      <c r="K10" s="99">
        <f>IF(DATI!$F$59="SI",DATI!F115,'FOGLIO DEPOSITO-muraturaC7-19'!L90)</f>
        <v>1</v>
      </c>
      <c r="L10" s="99">
        <f>IF(DATI!$F$59="SI",DATI!F127,'FOGLIO DEPOSITO-muraturaC7-19'!M90)</f>
        <v>1</v>
      </c>
      <c r="N10" s="11"/>
      <c r="O10" s="11"/>
      <c r="P10" s="11"/>
      <c r="Q10" s="11"/>
    </row>
    <row r="11" spans="2:17">
      <c r="B11" s="284" t="s">
        <v>472</v>
      </c>
      <c r="C11" s="284"/>
      <c r="D11" s="284"/>
      <c r="E11" s="284"/>
      <c r="F11" s="284"/>
      <c r="G11" s="99">
        <f>IF(DATI!$F$59="SI",DATI!F68,'FOGLIO DEPOSITO-muraturaC7-19'!H91)</f>
        <v>1</v>
      </c>
      <c r="H11" s="99">
        <f>IF(DATI!$F$59="SI",DATI!F80,'FOGLIO DEPOSITO-muraturaC7-19'!I91)</f>
        <v>1</v>
      </c>
      <c r="I11" s="99">
        <f>IF(DATI!$F$59="SI",DATI!F92,'FOGLIO DEPOSITO-muraturaC7-19'!J91)</f>
        <v>1</v>
      </c>
      <c r="J11" s="99">
        <f>IF(DATI!$F$59="SI",DATI!F104,'FOGLIO DEPOSITO-muraturaC7-19'!K91)</f>
        <v>1</v>
      </c>
      <c r="K11" s="99">
        <f>IF(DATI!$F$59="SI",DATI!F116,'FOGLIO DEPOSITO-muraturaC7-19'!L91)</f>
        <v>1</v>
      </c>
      <c r="L11" s="99">
        <f>IF(DATI!$F$59="SI",DATI!F128,'FOGLIO DEPOSITO-muraturaC7-19'!M91)</f>
        <v>1</v>
      </c>
    </row>
    <row r="12" spans="2:17">
      <c r="B12" s="287" t="s">
        <v>466</v>
      </c>
      <c r="C12" s="287"/>
      <c r="D12" s="287"/>
      <c r="E12" s="287"/>
      <c r="F12" s="287"/>
      <c r="G12" s="215">
        <f>IF(DATI!$F$59="SI",DATI!F69,'FOGLIO DEPOSITO-muraturaC7-19'!H86)</f>
        <v>1</v>
      </c>
      <c r="H12" s="215">
        <f>IF(DATI!$F$59="SI",DATI!F81,'FOGLIO DEPOSITO-muraturaC7-19'!I86)</f>
        <v>1</v>
      </c>
      <c r="I12" s="215">
        <f>IF(DATI!$F$59="SI",DATI!F93,'FOGLIO DEPOSITO-muraturaC7-19'!J86)</f>
        <v>1</v>
      </c>
      <c r="J12" s="215">
        <f>IF(DATI!$F$59="SI",DATI!F105,'FOGLIO DEPOSITO-muraturaC7-19'!K86)</f>
        <v>1</v>
      </c>
      <c r="K12" s="215">
        <f>IF(DATI!$F$59="SI",DATI!F117,'FOGLIO DEPOSITO-muraturaC7-19'!L86)</f>
        <v>1</v>
      </c>
      <c r="L12" s="215">
        <f>IF(DATI!$F$59="SI",DATI!F129,'FOGLIO DEPOSITO-muraturaC7-19'!M86)</f>
        <v>1</v>
      </c>
    </row>
    <row r="13" spans="2:17">
      <c r="B13" s="287" t="s">
        <v>467</v>
      </c>
      <c r="C13" s="287"/>
      <c r="D13" s="287"/>
      <c r="E13" s="287"/>
      <c r="F13" s="287"/>
      <c r="G13" s="215">
        <f>IF(DATI!$F$59="SI",DATI!F70,'FOGLIO DEPOSITO-muraturaC7-19'!H89)</f>
        <v>1</v>
      </c>
      <c r="H13" s="215">
        <f>IF(DATI!$F$59="SI",DATI!F82,'FOGLIO DEPOSITO-muraturaC7-19'!I89)</f>
        <v>1</v>
      </c>
      <c r="I13" s="215">
        <f>IF(DATI!$F$59="SI",DATI!F94,'FOGLIO DEPOSITO-muraturaC7-19'!J89)</f>
        <v>1</v>
      </c>
      <c r="J13" s="215">
        <f>IF(DATI!$F$59="SI",DATI!F106,'FOGLIO DEPOSITO-muraturaC7-19'!K89)</f>
        <v>1</v>
      </c>
      <c r="K13" s="215">
        <f>IF(DATI!$F$59="SI",DATI!F118,'FOGLIO DEPOSITO-muraturaC7-19'!L89)</f>
        <v>1</v>
      </c>
      <c r="L13" s="215">
        <f>IF(DATI!$F$59="SI",DATI!F130,'FOGLIO DEPOSITO-muraturaC7-19'!M89)</f>
        <v>1</v>
      </c>
    </row>
    <row r="14" spans="2:17">
      <c r="B14" s="284" t="s">
        <v>138</v>
      </c>
      <c r="C14" s="284"/>
      <c r="D14" s="284"/>
      <c r="E14" s="284"/>
      <c r="F14" s="284"/>
      <c r="G14" s="99">
        <v>1</v>
      </c>
      <c r="H14" s="99">
        <v>1</v>
      </c>
      <c r="I14" s="99">
        <v>1</v>
      </c>
      <c r="J14" s="99">
        <f>'FOGLIO DEPOSITO-muraturaC7-19'!N96</f>
        <v>1</v>
      </c>
      <c r="K14" s="99">
        <f>'FOGLIO DEPOSITO-muraturaC7-19'!N96</f>
        <v>1</v>
      </c>
      <c r="L14" s="99">
        <v>1</v>
      </c>
    </row>
    <row r="15" spans="2:17">
      <c r="B15" s="294" t="s">
        <v>473</v>
      </c>
      <c r="C15" s="294"/>
      <c r="D15" s="294"/>
      <c r="E15" s="294"/>
      <c r="F15" s="294"/>
      <c r="G15" s="216">
        <f>PRODUCT(G7:G14)</f>
        <v>1</v>
      </c>
      <c r="H15" s="216">
        <f t="shared" ref="H15:L15" si="0">PRODUCT(H7:H14)</f>
        <v>1</v>
      </c>
      <c r="I15" s="216">
        <f t="shared" si="0"/>
        <v>1</v>
      </c>
      <c r="J15" s="216">
        <f t="shared" si="0"/>
        <v>1</v>
      </c>
      <c r="K15" s="216">
        <f t="shared" si="0"/>
        <v>1</v>
      </c>
      <c r="L15" s="216">
        <f t="shared" si="0"/>
        <v>1</v>
      </c>
    </row>
    <row r="16" spans="2:17">
      <c r="B16" s="286" t="s">
        <v>474</v>
      </c>
      <c r="C16" s="286"/>
      <c r="D16" s="286"/>
      <c r="E16" s="286"/>
      <c r="F16" s="203">
        <f>VLOOKUP(B4,'FOGLIO DEPOSITO-muraturaC7-19'!C5:Q12,15,FALSE)</f>
        <v>1.4</v>
      </c>
      <c r="G16" s="99">
        <f>IF(G15&lt;=$F$16,G15,F16)</f>
        <v>1</v>
      </c>
      <c r="H16" s="99">
        <f t="shared" ref="H16:L16" si="1">IF(H15&lt;=$F$16,H15,G16)</f>
        <v>1</v>
      </c>
      <c r="I16" s="99">
        <f t="shared" si="1"/>
        <v>1</v>
      </c>
      <c r="J16" s="99">
        <f t="shared" si="1"/>
        <v>1</v>
      </c>
      <c r="K16" s="99">
        <f t="shared" si="1"/>
        <v>1</v>
      </c>
      <c r="L16" s="99">
        <f t="shared" si="1"/>
        <v>1</v>
      </c>
    </row>
    <row r="17" spans="2:17">
      <c r="B17" s="11"/>
      <c r="C17" s="11"/>
      <c r="D17" s="11"/>
      <c r="E17" s="11"/>
      <c r="F17" s="11"/>
      <c r="G17" s="100">
        <f>G6*G16</f>
        <v>580</v>
      </c>
      <c r="H17" s="100">
        <f t="shared" ref="H17:L17" si="2">H6*H16</f>
        <v>9</v>
      </c>
      <c r="I17" s="100">
        <f t="shared" si="2"/>
        <v>18</v>
      </c>
      <c r="J17" s="101">
        <f t="shared" si="2"/>
        <v>2850</v>
      </c>
      <c r="K17" s="101">
        <f t="shared" si="2"/>
        <v>950</v>
      </c>
      <c r="L17" s="102">
        <f t="shared" si="2"/>
        <v>22</v>
      </c>
    </row>
    <row r="18" spans="2:17">
      <c r="B18" s="11"/>
      <c r="C18" s="11"/>
      <c r="D18" s="11"/>
      <c r="E18" s="11"/>
      <c r="F18" s="11"/>
      <c r="G18" s="11"/>
      <c r="H18" s="11"/>
      <c r="I18" s="11"/>
      <c r="J18" s="11"/>
      <c r="K18" s="11"/>
      <c r="L18" s="11"/>
      <c r="M18" s="11"/>
      <c r="N18" s="11"/>
      <c r="O18" s="11"/>
      <c r="P18" s="11"/>
      <c r="Q18" s="11"/>
    </row>
    <row r="19" spans="2:17">
      <c r="B19" s="291" t="s">
        <v>94</v>
      </c>
      <c r="C19" s="292"/>
      <c r="D19" s="292"/>
      <c r="E19" s="292"/>
      <c r="F19" s="292"/>
      <c r="G19" s="293"/>
      <c r="H19" s="202" t="s">
        <v>7</v>
      </c>
      <c r="I19" s="217">
        <f>L17</f>
        <v>22</v>
      </c>
      <c r="J19" s="218">
        <f>I19/10</f>
        <v>2.2000000000000002</v>
      </c>
      <c r="K19" s="11"/>
      <c r="L19" s="11"/>
      <c r="M19" s="11"/>
      <c r="N19" s="11"/>
      <c r="O19" s="11"/>
      <c r="P19" s="11"/>
      <c r="Q19" s="11"/>
    </row>
    <row r="20" spans="2:17" ht="18.75">
      <c r="B20" s="291" t="s">
        <v>95</v>
      </c>
      <c r="C20" s="292"/>
      <c r="D20" s="292"/>
      <c r="E20" s="292"/>
      <c r="F20" s="292"/>
      <c r="G20" s="293"/>
      <c r="H20" s="91" t="s">
        <v>8</v>
      </c>
      <c r="I20" s="70">
        <f>G17*10</f>
        <v>5800</v>
      </c>
      <c r="J20" s="219">
        <f>I20/1000</f>
        <v>5.8</v>
      </c>
      <c r="K20" s="11"/>
      <c r="L20" s="11"/>
      <c r="M20" s="11"/>
      <c r="N20" s="11"/>
      <c r="O20" s="11"/>
      <c r="P20" s="11"/>
      <c r="Q20" s="11"/>
    </row>
    <row r="21" spans="2:17" ht="18.75">
      <c r="B21" s="291" t="s">
        <v>96</v>
      </c>
      <c r="C21" s="292"/>
      <c r="D21" s="292"/>
      <c r="E21" s="292"/>
      <c r="F21" s="292"/>
      <c r="G21" s="293"/>
      <c r="H21" s="98" t="s">
        <v>61</v>
      </c>
      <c r="I21" s="70">
        <f>H17*10</f>
        <v>90</v>
      </c>
      <c r="J21" s="219">
        <f>I21/1000</f>
        <v>0.09</v>
      </c>
      <c r="K21" s="11"/>
      <c r="L21" s="11"/>
      <c r="M21" s="11"/>
      <c r="N21" s="11"/>
      <c r="O21" s="11"/>
      <c r="P21" s="11"/>
      <c r="Q21" s="11"/>
    </row>
    <row r="22" spans="2:17">
      <c r="B22" s="291" t="s">
        <v>475</v>
      </c>
      <c r="C22" s="292"/>
      <c r="D22" s="292"/>
      <c r="E22" s="292"/>
      <c r="F22" s="292"/>
      <c r="G22" s="293"/>
      <c r="H22" s="96" t="s">
        <v>476</v>
      </c>
      <c r="I22" s="220">
        <f>I17*10</f>
        <v>180</v>
      </c>
      <c r="J22" s="219">
        <f>I22/1000</f>
        <v>0.18</v>
      </c>
      <c r="K22" s="11"/>
      <c r="L22" s="11"/>
      <c r="M22" s="11"/>
      <c r="N22" s="11"/>
      <c r="O22" s="11"/>
      <c r="P22" s="11"/>
      <c r="Q22" s="11"/>
    </row>
    <row r="23" spans="2:17" ht="7.5" customHeight="1">
      <c r="B23" s="221"/>
      <c r="C23" s="221"/>
      <c r="D23" s="221"/>
      <c r="E23" s="221"/>
      <c r="F23" s="221"/>
      <c r="G23" s="221"/>
      <c r="H23" s="109"/>
      <c r="I23" s="56"/>
      <c r="J23" s="107"/>
      <c r="K23" s="11"/>
      <c r="L23" s="11"/>
      <c r="M23" s="11"/>
      <c r="N23" s="11"/>
      <c r="O23" s="11"/>
      <c r="P23" s="11"/>
      <c r="Q23" s="11"/>
    </row>
    <row r="24" spans="2:17" ht="18.75">
      <c r="B24" s="291" t="s">
        <v>97</v>
      </c>
      <c r="C24" s="292"/>
      <c r="D24" s="292"/>
      <c r="E24" s="292"/>
      <c r="F24" s="292"/>
      <c r="G24" s="293"/>
      <c r="H24" s="91" t="s">
        <v>14</v>
      </c>
      <c r="I24" s="220">
        <f>I20/(I31*I32)</f>
        <v>2148.1481481481478</v>
      </c>
      <c r="J24" s="219">
        <f>I24/1000</f>
        <v>2.1481481481481479</v>
      </c>
      <c r="K24" s="11"/>
      <c r="L24" s="11"/>
      <c r="M24" s="11"/>
      <c r="N24" s="11"/>
      <c r="O24" s="11"/>
      <c r="P24" s="11"/>
      <c r="Q24" s="11"/>
    </row>
    <row r="25" spans="2:17" ht="18.75">
      <c r="B25" s="291" t="s">
        <v>98</v>
      </c>
      <c r="C25" s="292"/>
      <c r="D25" s="292"/>
      <c r="E25" s="292"/>
      <c r="F25" s="292"/>
      <c r="G25" s="293"/>
      <c r="H25" s="98" t="s">
        <v>3</v>
      </c>
      <c r="I25" s="220">
        <f>H17*10/(I31*I32)</f>
        <v>33.333333333333329</v>
      </c>
      <c r="J25" s="219">
        <f>I25/1000</f>
        <v>3.3333333333333326E-2</v>
      </c>
      <c r="K25" s="11"/>
      <c r="L25" s="11"/>
      <c r="M25" s="11"/>
      <c r="N25" s="11"/>
      <c r="O25" s="11"/>
      <c r="P25" s="11"/>
      <c r="Q25" s="11"/>
    </row>
    <row r="26" spans="2:17">
      <c r="B26" s="291" t="s">
        <v>477</v>
      </c>
      <c r="C26" s="292"/>
      <c r="D26" s="292"/>
      <c r="E26" s="292"/>
      <c r="F26" s="292"/>
      <c r="G26" s="293"/>
      <c r="H26" s="96" t="s">
        <v>478</v>
      </c>
      <c r="I26" s="220">
        <f>I17*10/(I31*I32)</f>
        <v>66.666666666666657</v>
      </c>
      <c r="J26" s="219">
        <f>I26/1000</f>
        <v>6.6666666666666652E-2</v>
      </c>
      <c r="K26" s="11"/>
      <c r="L26" s="11"/>
      <c r="M26" s="11"/>
      <c r="N26" s="11"/>
      <c r="O26" s="11"/>
      <c r="P26" s="11"/>
      <c r="Q26" s="11"/>
    </row>
    <row r="27" spans="2:17" ht="9.75" customHeight="1">
      <c r="B27" s="221"/>
      <c r="C27" s="221"/>
      <c r="D27" s="221"/>
      <c r="E27" s="221"/>
      <c r="F27" s="221"/>
      <c r="G27" s="221"/>
      <c r="H27" s="109"/>
      <c r="I27" s="11"/>
      <c r="J27" s="11"/>
      <c r="K27" s="11"/>
      <c r="L27" s="11"/>
      <c r="M27" s="11"/>
      <c r="N27" s="11"/>
      <c r="O27" s="11"/>
      <c r="P27" s="11"/>
      <c r="Q27" s="11"/>
    </row>
    <row r="28" spans="2:17">
      <c r="B28" s="291" t="s">
        <v>135</v>
      </c>
      <c r="C28" s="292"/>
      <c r="D28" s="292"/>
      <c r="E28" s="292"/>
      <c r="F28" s="292"/>
      <c r="G28" s="293"/>
      <c r="H28" s="202" t="s">
        <v>62</v>
      </c>
      <c r="I28" s="222">
        <f>J17</f>
        <v>2850</v>
      </c>
      <c r="J28" s="223">
        <f>I28*1000</f>
        <v>2850000</v>
      </c>
      <c r="K28" s="11"/>
      <c r="L28" s="11"/>
      <c r="M28" s="11"/>
      <c r="N28" s="11"/>
      <c r="O28" s="11"/>
      <c r="P28" s="11"/>
      <c r="Q28" s="11"/>
    </row>
    <row r="29" spans="2:17">
      <c r="B29" s="291" t="s">
        <v>101</v>
      </c>
      <c r="C29" s="292"/>
      <c r="D29" s="292"/>
      <c r="E29" s="292"/>
      <c r="F29" s="292"/>
      <c r="G29" s="293"/>
      <c r="H29" s="202" t="s">
        <v>63</v>
      </c>
      <c r="I29" s="222">
        <f>K17</f>
        <v>950</v>
      </c>
      <c r="J29" s="223">
        <f>I29*1000</f>
        <v>950000</v>
      </c>
      <c r="K29" s="11"/>
      <c r="L29" s="11"/>
      <c r="M29" s="113"/>
      <c r="N29" s="11"/>
      <c r="O29" s="11"/>
      <c r="P29" s="11"/>
      <c r="Q29" s="11"/>
    </row>
    <row r="30" spans="2:17" ht="7.5" customHeight="1">
      <c r="B30" s="221"/>
      <c r="C30" s="221"/>
      <c r="D30" s="221"/>
      <c r="E30" s="221"/>
      <c r="F30" s="221"/>
      <c r="G30" s="221"/>
      <c r="H30" s="11"/>
      <c r="I30" s="114"/>
      <c r="J30" s="11"/>
      <c r="K30" s="11"/>
      <c r="L30" s="11"/>
      <c r="M30" s="11"/>
      <c r="N30" s="11"/>
      <c r="O30" s="11"/>
      <c r="P30" s="11"/>
      <c r="Q30" s="11"/>
    </row>
    <row r="31" spans="2:17">
      <c r="B31" s="295" t="s">
        <v>44</v>
      </c>
      <c r="C31" s="296"/>
      <c r="D31" s="296"/>
      <c r="E31" s="296"/>
      <c r="F31" s="296"/>
      <c r="G31" s="297"/>
      <c r="H31" s="202" t="s">
        <v>0</v>
      </c>
      <c r="I31" s="99">
        <f>DATI!F32</f>
        <v>1.35</v>
      </c>
      <c r="J31" s="201" t="s">
        <v>118</v>
      </c>
      <c r="K31" s="11"/>
      <c r="L31" s="11"/>
      <c r="M31" s="11"/>
      <c r="N31" s="11"/>
      <c r="O31" s="11"/>
      <c r="P31" s="11"/>
      <c r="Q31" s="11"/>
    </row>
    <row r="32" spans="2:17" ht="18.75">
      <c r="B32" s="295" t="s">
        <v>99</v>
      </c>
      <c r="C32" s="296"/>
      <c r="D32" s="296"/>
      <c r="E32" s="296"/>
      <c r="F32" s="296"/>
      <c r="G32" s="297"/>
      <c r="H32" s="224" t="s">
        <v>6</v>
      </c>
      <c r="I32" s="201">
        <f>DATI!F54</f>
        <v>2</v>
      </c>
      <c r="J32" s="201" t="s">
        <v>118</v>
      </c>
      <c r="K32" s="11"/>
      <c r="L32" s="11"/>
      <c r="M32" s="11"/>
      <c r="N32" s="11"/>
      <c r="O32" s="11"/>
      <c r="P32" s="11"/>
      <c r="Q32" s="11"/>
    </row>
    <row r="33" spans="2:17">
      <c r="B33" s="11"/>
      <c r="C33" s="11"/>
      <c r="D33" s="11"/>
      <c r="E33" s="11"/>
      <c r="F33" s="11"/>
      <c r="G33" s="11"/>
      <c r="H33" s="11"/>
      <c r="I33" s="11"/>
      <c r="J33" s="11"/>
      <c r="K33" s="11"/>
      <c r="L33" s="11"/>
      <c r="M33" s="11"/>
      <c r="N33" s="11"/>
      <c r="O33" s="11"/>
      <c r="P33" s="11"/>
      <c r="Q33" s="11"/>
    </row>
    <row r="34" spans="2:17">
      <c r="B34" s="11"/>
      <c r="C34" s="11"/>
      <c r="D34" s="11"/>
      <c r="E34" s="11"/>
      <c r="F34" s="11"/>
      <c r="G34" s="11"/>
      <c r="H34" s="11"/>
      <c r="I34" s="11"/>
      <c r="J34" s="11"/>
      <c r="K34" s="11"/>
      <c r="L34" s="11"/>
      <c r="M34" s="11"/>
      <c r="N34" s="11"/>
      <c r="O34" s="11"/>
      <c r="P34" s="11"/>
      <c r="Q34" s="11"/>
    </row>
    <row r="35" spans="2:17">
      <c r="B35" s="11"/>
      <c r="C35" s="11"/>
      <c r="D35" s="11"/>
      <c r="E35" s="11"/>
      <c r="F35" s="11"/>
      <c r="G35" s="11"/>
      <c r="H35" s="11"/>
      <c r="I35" s="11"/>
      <c r="J35" s="11"/>
      <c r="K35" s="11"/>
      <c r="L35" s="11"/>
      <c r="M35" s="11"/>
      <c r="N35" s="11"/>
      <c r="O35" s="11"/>
      <c r="P35" s="11"/>
      <c r="Q35" s="11"/>
    </row>
    <row r="36" spans="2:17">
      <c r="B36" s="11"/>
      <c r="C36" s="11"/>
      <c r="D36" s="11"/>
      <c r="E36" s="11"/>
      <c r="F36" s="11"/>
      <c r="G36" s="11"/>
      <c r="H36" s="11"/>
      <c r="I36" s="11"/>
      <c r="J36" s="11"/>
      <c r="K36" s="11"/>
      <c r="L36" s="11"/>
      <c r="M36" s="11"/>
      <c r="N36" s="11"/>
      <c r="O36" s="11"/>
      <c r="P36" s="11"/>
      <c r="Q36" s="11"/>
    </row>
    <row r="37" spans="2:17">
      <c r="B37" s="11"/>
      <c r="C37" s="11"/>
      <c r="D37" s="11"/>
      <c r="E37" s="11"/>
      <c r="F37" s="11"/>
      <c r="G37" s="11"/>
      <c r="H37" s="11"/>
      <c r="I37" s="11"/>
      <c r="J37" s="11"/>
      <c r="K37" s="11"/>
      <c r="L37" s="11"/>
      <c r="M37" s="11"/>
      <c r="N37" s="11"/>
      <c r="O37" s="11"/>
      <c r="P37" s="11"/>
      <c r="Q37" s="11"/>
    </row>
    <row r="38" spans="2:17">
      <c r="B38" s="11"/>
      <c r="C38" s="11"/>
      <c r="D38" s="11"/>
      <c r="E38" s="11"/>
      <c r="F38" s="11"/>
      <c r="G38" s="11"/>
      <c r="H38" s="11"/>
      <c r="I38" s="11"/>
      <c r="J38" s="11"/>
      <c r="K38" s="11"/>
      <c r="L38" s="11"/>
      <c r="M38" s="11"/>
      <c r="N38" s="11"/>
      <c r="O38" s="11"/>
      <c r="P38" s="11"/>
      <c r="Q38" s="11"/>
    </row>
    <row r="39" spans="2:17">
      <c r="B39" s="11"/>
      <c r="C39" s="11"/>
      <c r="D39" s="11"/>
      <c r="E39" s="11"/>
      <c r="F39" s="11"/>
      <c r="G39" s="11"/>
      <c r="H39" s="11"/>
      <c r="I39" s="11"/>
      <c r="J39" s="11"/>
      <c r="K39" s="11"/>
      <c r="L39" s="11"/>
      <c r="M39" s="11"/>
      <c r="N39" s="11"/>
      <c r="O39" s="11"/>
      <c r="P39" s="11"/>
      <c r="Q39" s="11"/>
    </row>
    <row r="40" spans="2:17">
      <c r="B40" s="11"/>
      <c r="C40" s="11"/>
      <c r="D40" s="11"/>
      <c r="E40" s="11"/>
      <c r="F40" s="11"/>
      <c r="G40" s="11"/>
      <c r="H40" s="11"/>
      <c r="I40" s="11"/>
      <c r="J40" s="11"/>
      <c r="K40" s="11"/>
      <c r="L40" s="11"/>
      <c r="M40" s="11"/>
      <c r="N40" s="11"/>
      <c r="O40" s="11"/>
      <c r="P40" s="11"/>
      <c r="Q40" s="11"/>
    </row>
    <row r="41" spans="2:17">
      <c r="B41" s="11"/>
      <c r="C41" s="11"/>
      <c r="D41" s="11"/>
      <c r="E41" s="11"/>
      <c r="F41" s="11"/>
      <c r="G41" s="11"/>
      <c r="H41" s="11"/>
      <c r="I41" s="11"/>
      <c r="J41" s="11"/>
      <c r="K41" s="11"/>
      <c r="L41" s="11"/>
      <c r="M41" s="11"/>
      <c r="N41" s="11"/>
      <c r="O41" s="11"/>
      <c r="P41" s="11"/>
      <c r="Q41" s="11"/>
    </row>
    <row r="42" spans="2:17">
      <c r="B42" s="11"/>
      <c r="C42" s="11"/>
      <c r="D42" s="11"/>
      <c r="E42" s="11"/>
      <c r="F42" s="11"/>
      <c r="G42" s="11"/>
      <c r="H42" s="11"/>
      <c r="I42" s="11"/>
      <c r="J42" s="11"/>
      <c r="K42" s="11"/>
      <c r="L42" s="11"/>
      <c r="M42" s="11"/>
      <c r="N42" s="11"/>
      <c r="O42" s="11"/>
      <c r="P42" s="11"/>
      <c r="Q42" s="11"/>
    </row>
    <row r="43" spans="2:17">
      <c r="B43" s="11"/>
      <c r="C43" s="11"/>
      <c r="D43" s="11"/>
      <c r="E43" s="11"/>
      <c r="F43" s="11"/>
      <c r="G43" s="11"/>
      <c r="H43" s="54"/>
      <c r="I43" s="54"/>
      <c r="J43" s="11"/>
      <c r="K43" s="11"/>
      <c r="L43" s="11"/>
      <c r="M43" s="11"/>
      <c r="N43" s="11"/>
      <c r="O43" s="11"/>
      <c r="P43" s="11"/>
      <c r="Q43" s="11"/>
    </row>
    <row r="44" spans="2:17">
      <c r="B44" s="11"/>
      <c r="C44" s="11"/>
      <c r="D44" s="11"/>
      <c r="E44" s="11"/>
      <c r="F44" s="11"/>
      <c r="G44" s="11"/>
      <c r="H44" s="11"/>
      <c r="I44" s="11"/>
      <c r="J44" s="11"/>
      <c r="K44" s="11"/>
      <c r="L44" s="11"/>
      <c r="M44" s="11"/>
      <c r="N44" s="11"/>
      <c r="O44" s="11"/>
      <c r="P44" s="11"/>
      <c r="Q44" s="11"/>
    </row>
    <row r="45" spans="2:17">
      <c r="B45" s="11"/>
      <c r="C45" s="11"/>
      <c r="D45" s="11"/>
      <c r="E45" s="11"/>
      <c r="F45" s="11"/>
      <c r="G45" s="11"/>
      <c r="H45" s="54"/>
      <c r="I45" s="54"/>
      <c r="J45" s="11"/>
      <c r="K45" s="11"/>
      <c r="L45" s="11"/>
      <c r="M45" s="11"/>
      <c r="N45" s="11"/>
      <c r="O45" s="11"/>
      <c r="P45" s="11"/>
      <c r="Q45" s="11"/>
    </row>
    <row r="46" spans="2:17">
      <c r="B46" s="11"/>
      <c r="C46" s="11"/>
      <c r="D46" s="11"/>
      <c r="E46" s="11"/>
      <c r="F46" s="11"/>
      <c r="G46" s="11"/>
      <c r="H46" s="11"/>
      <c r="I46" s="11"/>
      <c r="J46" s="11"/>
      <c r="K46" s="11"/>
      <c r="L46" s="11"/>
      <c r="M46" s="11"/>
      <c r="N46" s="11"/>
      <c r="O46" s="11"/>
      <c r="P46" s="11"/>
      <c r="Q46" s="11"/>
    </row>
    <row r="47" spans="2:17">
      <c r="B47" s="11"/>
      <c r="C47" s="11"/>
      <c r="D47" s="11"/>
      <c r="E47" s="11"/>
      <c r="F47" s="11"/>
      <c r="G47" s="11"/>
      <c r="H47" s="54"/>
      <c r="I47" s="54"/>
      <c r="J47" s="11"/>
      <c r="K47" s="11"/>
      <c r="L47" s="11"/>
      <c r="M47" s="11"/>
      <c r="N47" s="11"/>
      <c r="O47" s="11"/>
      <c r="P47" s="11"/>
      <c r="Q47" s="11"/>
    </row>
    <row r="48" spans="2:17">
      <c r="B48" s="11"/>
      <c r="C48" s="11"/>
      <c r="D48" s="11"/>
      <c r="E48" s="11"/>
      <c r="F48" s="11"/>
      <c r="G48" s="11"/>
      <c r="H48" s="11"/>
      <c r="I48" s="11"/>
      <c r="J48" s="11"/>
      <c r="K48" s="11"/>
      <c r="L48" s="11"/>
      <c r="M48" s="11"/>
      <c r="N48" s="11"/>
      <c r="O48" s="11"/>
      <c r="P48" s="11"/>
      <c r="Q48" s="11"/>
    </row>
    <row r="49" spans="2:17">
      <c r="B49" s="11"/>
      <c r="C49" s="11"/>
      <c r="D49" s="11"/>
      <c r="E49" s="11"/>
      <c r="F49" s="11"/>
      <c r="G49" s="11"/>
      <c r="H49" s="54"/>
      <c r="I49" s="54"/>
      <c r="J49" s="11"/>
      <c r="K49" s="11"/>
      <c r="L49" s="11"/>
      <c r="M49" s="11"/>
      <c r="N49" s="11"/>
      <c r="O49" s="11"/>
      <c r="P49" s="11"/>
      <c r="Q49" s="11"/>
    </row>
    <row r="51" spans="2:17">
      <c r="H51" s="1"/>
      <c r="I51" s="1"/>
    </row>
  </sheetData>
  <sheetProtection algorithmName="SHA-512" hashValue="DJysI1TFCaQfW6cmNy1j7a2AjvuO+iz8fiZX1ygHCJGz6+/+1oAWxxe7MqJQcoW5nWzi31Z82iQyzVLiyuVacw==" saltValue="7tbAQZwtQUSNn6t477i5Og==" spinCount="100000" sheet="1" objects="1" scenarios="1"/>
  <customSheetViews>
    <customSheetView guid="{2499ACAE-A2C7-4F7F-900A-65021AFAF04C}" scale="90" showGridLines="0" showRowCol="0" fitToPage="1">
      <selection activeCell="B2" sqref="B2:L2"/>
      <pageMargins left="0.7" right="0.7" top="0.75" bottom="0.75" header="0.3" footer="0.3"/>
      <pageSetup paperSize="9" orientation="landscape" r:id="rId1"/>
    </customSheetView>
  </customSheetViews>
  <mergeCells count="29">
    <mergeCell ref="B29:G29"/>
    <mergeCell ref="B31:G31"/>
    <mergeCell ref="B32:G32"/>
    <mergeCell ref="B21:G21"/>
    <mergeCell ref="B22:G22"/>
    <mergeCell ref="B24:G24"/>
    <mergeCell ref="B25:G25"/>
    <mergeCell ref="B26:G26"/>
    <mergeCell ref="B28:G28"/>
    <mergeCell ref="B20:G20"/>
    <mergeCell ref="B7:F7"/>
    <mergeCell ref="B8:F8"/>
    <mergeCell ref="B9:F9"/>
    <mergeCell ref="B10:F10"/>
    <mergeCell ref="B11:F11"/>
    <mergeCell ref="B12:F12"/>
    <mergeCell ref="B13:F13"/>
    <mergeCell ref="B14:F14"/>
    <mergeCell ref="B15:F15"/>
    <mergeCell ref="B16:E16"/>
    <mergeCell ref="B19:G19"/>
    <mergeCell ref="B2:L2"/>
    <mergeCell ref="B4:F6"/>
    <mergeCell ref="G4:G5"/>
    <mergeCell ref="H4:H5"/>
    <mergeCell ref="I4:I5"/>
    <mergeCell ref="J4:J5"/>
    <mergeCell ref="K4:K5"/>
    <mergeCell ref="L4:L5"/>
  </mergeCells>
  <pageMargins left="0.7" right="0.7" top="0.75" bottom="0.75" header="0.3" footer="0.3"/>
  <pageSetup paperSize="9" orientation="landscape"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277"/>
  <sheetViews>
    <sheetView topLeftCell="A142" zoomScale="70" zoomScaleNormal="70" workbookViewId="0">
      <selection activeCell="C178" sqref="C178"/>
    </sheetView>
  </sheetViews>
  <sheetFormatPr defaultRowHeight="15"/>
  <cols>
    <col min="1" max="1" width="2.42578125" customWidth="1"/>
    <col min="2" max="2" width="64.140625" customWidth="1"/>
    <col min="3" max="3" width="71.5703125" customWidth="1"/>
    <col min="4" max="14" width="12.7109375" customWidth="1"/>
    <col min="15" max="15" width="13" customWidth="1"/>
  </cols>
  <sheetData>
    <row r="1" spans="1:22">
      <c r="B1" s="247" t="s">
        <v>18</v>
      </c>
      <c r="C1" s="247"/>
      <c r="D1" s="247"/>
      <c r="E1" s="247"/>
      <c r="F1" s="247"/>
      <c r="G1" s="247"/>
      <c r="H1" s="247"/>
    </row>
    <row r="3" spans="1:22">
      <c r="A3" s="7"/>
      <c r="C3" s="1">
        <v>1</v>
      </c>
      <c r="D3" s="1">
        <v>2</v>
      </c>
      <c r="E3" s="1">
        <v>3</v>
      </c>
      <c r="F3" s="1">
        <v>4</v>
      </c>
      <c r="G3" s="1">
        <v>5</v>
      </c>
      <c r="H3" s="1">
        <v>6</v>
      </c>
      <c r="I3" s="1">
        <v>7</v>
      </c>
      <c r="J3" s="1">
        <v>8</v>
      </c>
      <c r="K3" s="1">
        <v>9</v>
      </c>
      <c r="L3" s="1">
        <v>10</v>
      </c>
      <c r="M3" s="1">
        <v>11</v>
      </c>
      <c r="N3" s="1">
        <v>12</v>
      </c>
      <c r="O3" s="1">
        <v>13</v>
      </c>
    </row>
    <row r="4" spans="1:22" ht="18">
      <c r="A4" s="7"/>
      <c r="B4" s="7"/>
      <c r="C4" s="7"/>
      <c r="D4" s="7" t="s">
        <v>19</v>
      </c>
      <c r="E4" s="7" t="s">
        <v>20</v>
      </c>
      <c r="F4" s="7" t="s">
        <v>21</v>
      </c>
      <c r="G4" s="7" t="s">
        <v>22</v>
      </c>
      <c r="H4" s="7" t="s">
        <v>23</v>
      </c>
      <c r="I4" s="20" t="s">
        <v>24</v>
      </c>
      <c r="J4" s="20" t="s">
        <v>25</v>
      </c>
      <c r="K4" s="20" t="s">
        <v>26</v>
      </c>
      <c r="L4" s="20" t="s">
        <v>27</v>
      </c>
      <c r="M4" s="20" t="s">
        <v>28</v>
      </c>
      <c r="N4" s="20" t="s">
        <v>57</v>
      </c>
      <c r="O4" s="19" t="s">
        <v>58</v>
      </c>
      <c r="U4" s="38" t="s">
        <v>85</v>
      </c>
      <c r="V4" s="39">
        <f>'FOGLIO DEPOSITO'!G93</f>
        <v>1</v>
      </c>
    </row>
    <row r="5" spans="1:22">
      <c r="B5" s="7">
        <v>1</v>
      </c>
      <c r="C5" s="16" t="s">
        <v>29</v>
      </c>
      <c r="D5" s="4">
        <f>(100+180)/2</f>
        <v>140</v>
      </c>
      <c r="E5" s="4">
        <f>(2+3.2)/2</f>
        <v>2.6</v>
      </c>
      <c r="F5" s="4">
        <f>(690+1050)/2</f>
        <v>870</v>
      </c>
      <c r="G5" s="4">
        <f>(230+350)/2</f>
        <v>290</v>
      </c>
      <c r="H5" s="4">
        <v>19</v>
      </c>
      <c r="I5" s="8">
        <v>1.5</v>
      </c>
      <c r="J5" s="8">
        <v>1</v>
      </c>
      <c r="K5" s="8">
        <v>1.3</v>
      </c>
      <c r="L5" s="8">
        <v>1.5</v>
      </c>
      <c r="M5" s="8">
        <v>0.9</v>
      </c>
      <c r="N5" s="8">
        <v>2</v>
      </c>
      <c r="O5" s="8">
        <v>2.5</v>
      </c>
      <c r="U5" s="40"/>
      <c r="V5" s="39"/>
    </row>
    <row r="6" spans="1:22">
      <c r="B6" s="7">
        <v>2</v>
      </c>
      <c r="C6" s="16" t="s">
        <v>30</v>
      </c>
      <c r="D6" s="4">
        <f>(200+300)/2</f>
        <v>250</v>
      </c>
      <c r="E6" s="4">
        <f>(3.5+5.1)/2</f>
        <v>4.3</v>
      </c>
      <c r="F6" s="4">
        <f>(1020+1440)/2</f>
        <v>1230</v>
      </c>
      <c r="G6" s="4">
        <f>(340+480)/2</f>
        <v>410</v>
      </c>
      <c r="H6" s="4">
        <v>20</v>
      </c>
      <c r="I6" s="8">
        <v>1.4</v>
      </c>
      <c r="J6" s="8">
        <v>1.2</v>
      </c>
      <c r="K6" s="8">
        <v>1.2</v>
      </c>
      <c r="L6" s="8">
        <v>1.5</v>
      </c>
      <c r="M6" s="8">
        <v>0.8</v>
      </c>
      <c r="N6" s="8">
        <v>1.7</v>
      </c>
      <c r="O6" s="8">
        <v>2</v>
      </c>
      <c r="U6" s="38" t="s">
        <v>85</v>
      </c>
      <c r="V6" s="39">
        <f>'FOGLIO DEPOSITO'!G94</f>
        <v>1</v>
      </c>
    </row>
    <row r="7" spans="1:22">
      <c r="B7" s="7">
        <v>3</v>
      </c>
      <c r="C7" s="16" t="s">
        <v>31</v>
      </c>
      <c r="D7" s="4">
        <f>(260+380)/2</f>
        <v>320</v>
      </c>
      <c r="E7" s="4">
        <f>(5.6+7.4)/2</f>
        <v>6.5</v>
      </c>
      <c r="F7" s="4">
        <f>(1500+1980)/2</f>
        <v>1740</v>
      </c>
      <c r="G7" s="4">
        <f>(500+660)/2</f>
        <v>580</v>
      </c>
      <c r="H7" s="4">
        <v>21</v>
      </c>
      <c r="I7" s="8">
        <v>1.3</v>
      </c>
      <c r="J7" s="8">
        <v>1</v>
      </c>
      <c r="K7" s="8">
        <v>1.1000000000000001</v>
      </c>
      <c r="L7" s="8">
        <v>1.3</v>
      </c>
      <c r="M7" s="8">
        <v>0.8</v>
      </c>
      <c r="N7" s="8">
        <v>1.5</v>
      </c>
      <c r="O7" s="8">
        <v>1.5</v>
      </c>
      <c r="U7" s="40"/>
      <c r="V7" s="39"/>
    </row>
    <row r="8" spans="1:22">
      <c r="B8" s="7">
        <v>4</v>
      </c>
      <c r="C8" s="16" t="s">
        <v>32</v>
      </c>
      <c r="D8" s="4">
        <f>(140+240)/2</f>
        <v>190</v>
      </c>
      <c r="E8" s="4">
        <f>(2.8+4.2)/2</f>
        <v>3.5</v>
      </c>
      <c r="F8" s="4">
        <f>(900+1260)/2</f>
        <v>1080</v>
      </c>
      <c r="G8" s="4">
        <f>(300+420)/2</f>
        <v>360</v>
      </c>
      <c r="H8" s="4">
        <v>16</v>
      </c>
      <c r="I8" s="8">
        <v>1.5</v>
      </c>
      <c r="J8" s="8">
        <v>1.5</v>
      </c>
      <c r="K8" s="8">
        <v>1</v>
      </c>
      <c r="L8" s="8">
        <v>1.5</v>
      </c>
      <c r="M8" s="8">
        <v>0.9</v>
      </c>
      <c r="N8" s="8">
        <v>1.7</v>
      </c>
      <c r="O8" s="8">
        <v>2</v>
      </c>
      <c r="U8" s="38" t="s">
        <v>85</v>
      </c>
      <c r="V8" s="39">
        <f>'FOGLIO DEPOSITO'!G95</f>
        <v>1</v>
      </c>
    </row>
    <row r="9" spans="1:22">
      <c r="B9" s="7">
        <v>5</v>
      </c>
      <c r="C9" s="16" t="s">
        <v>33</v>
      </c>
      <c r="D9" s="4">
        <f>(600+800)/2</f>
        <v>700</v>
      </c>
      <c r="E9" s="4">
        <f>(9+12)/2</f>
        <v>10.5</v>
      </c>
      <c r="F9" s="4">
        <f>(2400+3200)/2</f>
        <v>2800</v>
      </c>
      <c r="G9" s="4">
        <f>(780+940)/2</f>
        <v>860</v>
      </c>
      <c r="H9" s="4">
        <v>22</v>
      </c>
      <c r="I9" s="8">
        <v>1.2</v>
      </c>
      <c r="J9" s="8">
        <v>1.2</v>
      </c>
      <c r="K9" s="8">
        <v>1</v>
      </c>
      <c r="L9" s="8">
        <v>1.2</v>
      </c>
      <c r="M9" s="8">
        <v>0.7</v>
      </c>
      <c r="N9" s="8">
        <v>1.2</v>
      </c>
      <c r="O9" s="8">
        <v>1.2</v>
      </c>
      <c r="U9" s="40"/>
      <c r="V9" s="39"/>
    </row>
    <row r="10" spans="1:22">
      <c r="B10" s="7">
        <v>6</v>
      </c>
      <c r="C10" s="16" t="s">
        <v>34</v>
      </c>
      <c r="D10" s="4">
        <f>(240+400)/2</f>
        <v>320</v>
      </c>
      <c r="E10" s="4">
        <f>(6+9.2)/2</f>
        <v>7.6</v>
      </c>
      <c r="F10" s="4">
        <f>(1200+1800)/2</f>
        <v>1500</v>
      </c>
      <c r="G10" s="4">
        <f>(400+600)/2</f>
        <v>500</v>
      </c>
      <c r="H10" s="4">
        <v>18</v>
      </c>
      <c r="I10" s="8">
        <v>1.5</v>
      </c>
      <c r="J10" s="8">
        <v>1.5</v>
      </c>
      <c r="K10" s="8">
        <v>1</v>
      </c>
      <c r="L10" s="8">
        <v>1.3</v>
      </c>
      <c r="M10" s="8">
        <v>0.7</v>
      </c>
      <c r="N10" s="8">
        <v>1.5</v>
      </c>
      <c r="O10" s="8">
        <v>1.5</v>
      </c>
      <c r="U10" s="38" t="s">
        <v>85</v>
      </c>
      <c r="V10" s="39">
        <f>'FOGLIO DEPOSITO'!G96</f>
        <v>1.3</v>
      </c>
    </row>
    <row r="11" spans="1:22">
      <c r="B11" s="7">
        <v>7</v>
      </c>
      <c r="C11" s="16" t="s">
        <v>35</v>
      </c>
      <c r="D11" s="4">
        <f>(500+800)/2</f>
        <v>650</v>
      </c>
      <c r="E11" s="4">
        <f>(24+32)/2</f>
        <v>28</v>
      </c>
      <c r="F11" s="4">
        <f>(3500+5600)/2</f>
        <v>4550</v>
      </c>
      <c r="G11" s="4">
        <f>(875+1400)/2</f>
        <v>1137.5</v>
      </c>
      <c r="H11" s="4">
        <v>15</v>
      </c>
      <c r="I11" s="8">
        <v>1</v>
      </c>
      <c r="J11" s="8">
        <v>1</v>
      </c>
      <c r="K11" s="8">
        <v>1</v>
      </c>
      <c r="L11" s="8">
        <v>1</v>
      </c>
      <c r="M11" s="8">
        <v>1</v>
      </c>
      <c r="N11" s="8">
        <v>1</v>
      </c>
      <c r="O11" s="8">
        <v>1</v>
      </c>
      <c r="U11" s="40"/>
      <c r="V11" s="39"/>
    </row>
    <row r="12" spans="1:22">
      <c r="B12" s="7">
        <v>8</v>
      </c>
      <c r="C12" s="16" t="s">
        <v>36</v>
      </c>
      <c r="D12" s="4">
        <f>(400+600)/2</f>
        <v>500</v>
      </c>
      <c r="E12" s="4">
        <f>(30+40)/2</f>
        <v>35</v>
      </c>
      <c r="F12" s="4">
        <f>(3600+5400)/2</f>
        <v>4500</v>
      </c>
      <c r="G12" s="4">
        <f>(1080+1620)/2</f>
        <v>1350</v>
      </c>
      <c r="H12" s="4">
        <v>12</v>
      </c>
      <c r="I12" s="8">
        <v>1</v>
      </c>
      <c r="J12" s="8">
        <v>1</v>
      </c>
      <c r="K12" s="8">
        <v>1</v>
      </c>
      <c r="L12" s="8">
        <v>1</v>
      </c>
      <c r="M12" s="8">
        <v>1</v>
      </c>
      <c r="N12" s="8">
        <v>1</v>
      </c>
      <c r="O12" s="8">
        <v>1</v>
      </c>
      <c r="U12" s="38" t="s">
        <v>85</v>
      </c>
      <c r="V12" s="39">
        <f>'FOGLIO DEPOSITO'!G97</f>
        <v>1</v>
      </c>
    </row>
    <row r="13" spans="1:22">
      <c r="B13" s="7">
        <v>9</v>
      </c>
      <c r="C13" s="16" t="s">
        <v>37</v>
      </c>
      <c r="D13" s="4">
        <f>(300+400)/2</f>
        <v>350</v>
      </c>
      <c r="E13" s="4">
        <f>(10+13)/2</f>
        <v>11.5</v>
      </c>
      <c r="F13" s="4">
        <f>(2700+3600)/2</f>
        <v>3150</v>
      </c>
      <c r="G13" s="4">
        <f>(810+1080)/2</f>
        <v>945</v>
      </c>
      <c r="H13" s="4">
        <v>11</v>
      </c>
      <c r="I13" s="8">
        <v>1</v>
      </c>
      <c r="J13" s="8">
        <v>1</v>
      </c>
      <c r="K13" s="8">
        <v>1</v>
      </c>
      <c r="L13" s="8">
        <v>1</v>
      </c>
      <c r="M13" s="8">
        <v>1</v>
      </c>
      <c r="N13" s="8">
        <v>1</v>
      </c>
      <c r="O13" s="8">
        <v>1</v>
      </c>
      <c r="U13" s="40"/>
      <c r="V13" s="39"/>
    </row>
    <row r="14" spans="1:22">
      <c r="B14" s="7">
        <v>10</v>
      </c>
      <c r="C14" s="16" t="s">
        <v>38</v>
      </c>
      <c r="D14" s="4">
        <f>(150+200)/2</f>
        <v>175</v>
      </c>
      <c r="E14" s="4">
        <f>(9.5+12.5)/2</f>
        <v>11</v>
      </c>
      <c r="F14" s="4">
        <f>(1200+1600)/2</f>
        <v>1400</v>
      </c>
      <c r="G14" s="4">
        <f>(300+400)/2</f>
        <v>350</v>
      </c>
      <c r="H14" s="4">
        <v>12</v>
      </c>
      <c r="I14" s="8">
        <v>1</v>
      </c>
      <c r="J14" s="8">
        <v>1</v>
      </c>
      <c r="K14" s="8">
        <v>1</v>
      </c>
      <c r="L14" s="8">
        <v>1</v>
      </c>
      <c r="M14" s="8">
        <v>1</v>
      </c>
      <c r="N14" s="8">
        <v>1</v>
      </c>
      <c r="O14" s="8">
        <v>1</v>
      </c>
      <c r="U14" s="38" t="s">
        <v>85</v>
      </c>
      <c r="V14" s="39">
        <f>'FOGLIO DEPOSITO'!G98</f>
        <v>1</v>
      </c>
    </row>
    <row r="15" spans="1:22">
      <c r="B15" s="7">
        <v>11</v>
      </c>
      <c r="C15" s="16" t="s">
        <v>39</v>
      </c>
      <c r="D15" s="4">
        <f>(300+440)/2</f>
        <v>370</v>
      </c>
      <c r="E15" s="4">
        <f>(18+24)/2</f>
        <v>21</v>
      </c>
      <c r="F15" s="4">
        <f>(2400+3520)/2</f>
        <v>2960</v>
      </c>
      <c r="G15" s="4">
        <f>(600+880)/2</f>
        <v>740</v>
      </c>
      <c r="H15" s="4">
        <v>14</v>
      </c>
      <c r="I15" s="8">
        <v>1</v>
      </c>
      <c r="J15" s="8">
        <v>1</v>
      </c>
      <c r="K15" s="8">
        <v>1</v>
      </c>
      <c r="L15" s="8">
        <v>1</v>
      </c>
      <c r="M15" s="8">
        <v>1</v>
      </c>
      <c r="N15" s="8">
        <v>1</v>
      </c>
      <c r="O15" s="8">
        <v>1</v>
      </c>
      <c r="U15" s="40"/>
      <c r="V15" s="40"/>
    </row>
    <row r="16" spans="1:22">
      <c r="B16" s="10">
        <v>12</v>
      </c>
      <c r="C16" s="16" t="s">
        <v>29</v>
      </c>
      <c r="D16" s="15">
        <v>100</v>
      </c>
      <c r="E16" s="4">
        <v>2</v>
      </c>
      <c r="F16" s="4">
        <f>(690+1050)/2</f>
        <v>870</v>
      </c>
      <c r="G16" s="4">
        <f>(230+350)/2</f>
        <v>290</v>
      </c>
      <c r="H16" s="4">
        <v>19</v>
      </c>
      <c r="I16" s="8">
        <v>1.5</v>
      </c>
      <c r="J16" s="8">
        <v>1</v>
      </c>
      <c r="K16" s="8">
        <v>1.3</v>
      </c>
      <c r="L16" s="8">
        <v>1.5</v>
      </c>
      <c r="M16" s="8">
        <v>0.9</v>
      </c>
      <c r="N16" s="8">
        <v>2</v>
      </c>
      <c r="O16" s="8">
        <v>2.5</v>
      </c>
      <c r="U16" s="38" t="s">
        <v>85</v>
      </c>
      <c r="V16" s="39">
        <f>'FOGLIO DEPOSITO'!G99</f>
        <v>1</v>
      </c>
    </row>
    <row r="17" spans="2:15">
      <c r="B17" s="7">
        <v>13</v>
      </c>
      <c r="C17" s="16" t="s">
        <v>30</v>
      </c>
      <c r="D17" s="4">
        <v>200</v>
      </c>
      <c r="E17" s="4">
        <v>3.5</v>
      </c>
      <c r="F17" s="4">
        <f>(1020+1440)/2</f>
        <v>1230</v>
      </c>
      <c r="G17" s="4">
        <f>(340+480)/2</f>
        <v>410</v>
      </c>
      <c r="H17" s="4">
        <v>20</v>
      </c>
      <c r="I17" s="8">
        <v>1.4</v>
      </c>
      <c r="J17" s="8">
        <v>1.2</v>
      </c>
      <c r="K17" s="8">
        <v>1.2</v>
      </c>
      <c r="L17" s="8">
        <v>1.5</v>
      </c>
      <c r="M17" s="8">
        <v>0.8</v>
      </c>
      <c r="N17" s="8">
        <v>1.7</v>
      </c>
      <c r="O17" s="8">
        <v>2</v>
      </c>
    </row>
    <row r="18" spans="2:15">
      <c r="B18" s="7">
        <v>14</v>
      </c>
      <c r="C18" s="16" t="s">
        <v>31</v>
      </c>
      <c r="D18" s="4">
        <v>260</v>
      </c>
      <c r="E18" s="4">
        <v>5.6</v>
      </c>
      <c r="F18" s="4">
        <f>(1500+1980)/2</f>
        <v>1740</v>
      </c>
      <c r="G18" s="4">
        <f>(500+660)/2</f>
        <v>580</v>
      </c>
      <c r="H18" s="4">
        <v>21</v>
      </c>
      <c r="I18" s="8">
        <v>1.3</v>
      </c>
      <c r="J18" s="8">
        <v>1</v>
      </c>
      <c r="K18" s="8">
        <v>1.1000000000000001</v>
      </c>
      <c r="L18" s="8">
        <v>1.3</v>
      </c>
      <c r="M18" s="8">
        <v>0.8</v>
      </c>
      <c r="N18" s="8">
        <v>1.5</v>
      </c>
      <c r="O18" s="8">
        <v>1.5</v>
      </c>
    </row>
    <row r="19" spans="2:15">
      <c r="B19" s="7">
        <v>15</v>
      </c>
      <c r="C19" s="16" t="s">
        <v>32</v>
      </c>
      <c r="D19" s="4">
        <v>140</v>
      </c>
      <c r="E19" s="4">
        <v>2.8</v>
      </c>
      <c r="F19" s="4">
        <f>(900+1260)/2</f>
        <v>1080</v>
      </c>
      <c r="G19" s="4">
        <f>(300+420)/2</f>
        <v>360</v>
      </c>
      <c r="H19" s="4">
        <v>16</v>
      </c>
      <c r="I19" s="8">
        <v>1.5</v>
      </c>
      <c r="J19" s="8">
        <v>1.5</v>
      </c>
      <c r="K19" s="8">
        <v>1</v>
      </c>
      <c r="L19" s="8">
        <v>1.5</v>
      </c>
      <c r="M19" s="8">
        <v>0.9</v>
      </c>
      <c r="N19" s="8">
        <v>1.7</v>
      </c>
      <c r="O19" s="8">
        <v>2</v>
      </c>
    </row>
    <row r="20" spans="2:15">
      <c r="B20" s="7">
        <v>16</v>
      </c>
      <c r="C20" s="16" t="s">
        <v>33</v>
      </c>
      <c r="D20" s="4">
        <v>600</v>
      </c>
      <c r="E20" s="4">
        <v>9</v>
      </c>
      <c r="F20" s="4">
        <f>(2400+3200)/2</f>
        <v>2800</v>
      </c>
      <c r="G20" s="4">
        <f>(780+940)/2</f>
        <v>860</v>
      </c>
      <c r="H20" s="4">
        <v>22</v>
      </c>
      <c r="I20" s="8">
        <v>1.2</v>
      </c>
      <c r="J20" s="8">
        <v>1.2</v>
      </c>
      <c r="K20" s="8">
        <v>1</v>
      </c>
      <c r="L20" s="8">
        <v>1.2</v>
      </c>
      <c r="M20" s="8">
        <v>0.7</v>
      </c>
      <c r="N20" s="8">
        <v>1.2</v>
      </c>
      <c r="O20" s="8">
        <v>1.2</v>
      </c>
    </row>
    <row r="21" spans="2:15">
      <c r="B21" s="7">
        <v>17</v>
      </c>
      <c r="C21" s="16" t="s">
        <v>34</v>
      </c>
      <c r="D21" s="4">
        <v>240</v>
      </c>
      <c r="E21" s="4">
        <v>6</v>
      </c>
      <c r="F21" s="4">
        <f>(1200+1800)/2</f>
        <v>1500</v>
      </c>
      <c r="G21" s="4">
        <f>(400+600)/2</f>
        <v>500</v>
      </c>
      <c r="H21" s="4">
        <v>18</v>
      </c>
      <c r="I21" s="8">
        <v>1.5</v>
      </c>
      <c r="J21" s="8">
        <v>1.5</v>
      </c>
      <c r="K21" s="8">
        <v>1</v>
      </c>
      <c r="L21" s="8">
        <v>1.3</v>
      </c>
      <c r="M21" s="8">
        <v>0.7</v>
      </c>
      <c r="N21" s="8">
        <v>1.5</v>
      </c>
      <c r="O21" s="8">
        <v>1.5</v>
      </c>
    </row>
    <row r="22" spans="2:15">
      <c r="B22" s="7">
        <v>18</v>
      </c>
      <c r="C22" s="16" t="s">
        <v>35</v>
      </c>
      <c r="D22" s="4">
        <v>500</v>
      </c>
      <c r="E22" s="4">
        <v>24</v>
      </c>
      <c r="F22" s="4">
        <f>(3500+5600)/2</f>
        <v>4550</v>
      </c>
      <c r="G22" s="4">
        <f>(875+1400)/2</f>
        <v>1137.5</v>
      </c>
      <c r="H22" s="4">
        <v>15</v>
      </c>
      <c r="I22" s="8">
        <v>1</v>
      </c>
      <c r="J22" s="8">
        <v>1</v>
      </c>
      <c r="K22" s="8">
        <v>1</v>
      </c>
      <c r="L22" s="8">
        <v>1</v>
      </c>
      <c r="M22" s="8">
        <v>1</v>
      </c>
      <c r="N22" s="8">
        <v>1</v>
      </c>
      <c r="O22" s="8">
        <v>1</v>
      </c>
    </row>
    <row r="23" spans="2:15">
      <c r="B23" s="7">
        <v>19</v>
      </c>
      <c r="C23" s="16" t="s">
        <v>36</v>
      </c>
      <c r="D23" s="4">
        <v>400</v>
      </c>
      <c r="E23" s="4">
        <v>30</v>
      </c>
      <c r="F23" s="4">
        <f>(3600+5400)/2</f>
        <v>4500</v>
      </c>
      <c r="G23" s="4">
        <f>(1080+1620)/2</f>
        <v>1350</v>
      </c>
      <c r="H23" s="4">
        <v>12</v>
      </c>
      <c r="I23" s="8">
        <v>1</v>
      </c>
      <c r="J23" s="8">
        <v>1</v>
      </c>
      <c r="K23" s="8">
        <v>1</v>
      </c>
      <c r="L23" s="8">
        <v>1</v>
      </c>
      <c r="M23" s="8">
        <v>1</v>
      </c>
      <c r="N23" s="8">
        <v>1</v>
      </c>
      <c r="O23" s="8">
        <v>1</v>
      </c>
    </row>
    <row r="24" spans="2:15">
      <c r="B24" s="7">
        <v>20</v>
      </c>
      <c r="C24" s="16" t="s">
        <v>37</v>
      </c>
      <c r="D24" s="4">
        <v>300</v>
      </c>
      <c r="E24" s="4">
        <v>10</v>
      </c>
      <c r="F24" s="4">
        <f>(2700+3600)/2</f>
        <v>3150</v>
      </c>
      <c r="G24" s="4">
        <f>(810+1080)/2</f>
        <v>945</v>
      </c>
      <c r="H24" s="4">
        <v>11</v>
      </c>
      <c r="I24" s="8">
        <v>1</v>
      </c>
      <c r="J24" s="8">
        <v>1</v>
      </c>
      <c r="K24" s="8">
        <v>1</v>
      </c>
      <c r="L24" s="8">
        <v>1</v>
      </c>
      <c r="M24" s="8">
        <v>1</v>
      </c>
      <c r="N24" s="8">
        <v>1</v>
      </c>
      <c r="O24" s="8">
        <v>1</v>
      </c>
    </row>
    <row r="25" spans="2:15">
      <c r="B25" s="7">
        <v>21</v>
      </c>
      <c r="C25" s="16" t="s">
        <v>38</v>
      </c>
      <c r="D25" s="4">
        <v>150</v>
      </c>
      <c r="E25" s="4">
        <v>9.5</v>
      </c>
      <c r="F25" s="4">
        <f>(1200+1600)/2</f>
        <v>1400</v>
      </c>
      <c r="G25" s="4">
        <f>(300+400)/2</f>
        <v>350</v>
      </c>
      <c r="H25" s="4">
        <v>12</v>
      </c>
      <c r="I25" s="8">
        <v>1</v>
      </c>
      <c r="J25" s="8">
        <v>1</v>
      </c>
      <c r="K25" s="8">
        <v>1</v>
      </c>
      <c r="L25" s="8">
        <v>1</v>
      </c>
      <c r="M25" s="8">
        <v>1</v>
      </c>
      <c r="N25" s="8">
        <v>1</v>
      </c>
      <c r="O25" s="8">
        <v>1</v>
      </c>
    </row>
    <row r="26" spans="2:15">
      <c r="B26" s="7">
        <v>22</v>
      </c>
      <c r="C26" s="16" t="s">
        <v>39</v>
      </c>
      <c r="D26" s="4">
        <v>300</v>
      </c>
      <c r="E26" s="4">
        <v>18</v>
      </c>
      <c r="F26" s="4">
        <f>(2400+3520)/2</f>
        <v>2960</v>
      </c>
      <c r="G26" s="4">
        <f>(600+880)/2</f>
        <v>740</v>
      </c>
      <c r="H26" s="4">
        <v>14</v>
      </c>
      <c r="I26" s="8">
        <v>1</v>
      </c>
      <c r="J26" s="8">
        <v>1</v>
      </c>
      <c r="K26" s="8">
        <v>1</v>
      </c>
      <c r="L26" s="8">
        <v>1</v>
      </c>
      <c r="M26" s="8">
        <v>1</v>
      </c>
      <c r="N26" s="8">
        <v>1</v>
      </c>
      <c r="O26" s="8">
        <v>1</v>
      </c>
    </row>
    <row r="32" spans="2:15">
      <c r="B32" s="9" t="s">
        <v>29</v>
      </c>
      <c r="C32" s="7">
        <v>1</v>
      </c>
      <c r="D32" s="10">
        <v>2</v>
      </c>
      <c r="F32" t="s">
        <v>55</v>
      </c>
    </row>
    <row r="33" spans="2:10">
      <c r="B33" s="9" t="s">
        <v>30</v>
      </c>
      <c r="C33" s="7">
        <v>1</v>
      </c>
      <c r="D33" s="7">
        <v>2</v>
      </c>
      <c r="F33" t="s">
        <v>56</v>
      </c>
      <c r="I33" s="21">
        <f>IF('FOGLIO DEPOSITO'!$D$45=1,VLOOKUP('FOGLIO DEPOSITO'!$B$90,'FOGLIO DEPOSITO'!$C$5:$O$15,'FOGLIO DEPOSITO'!I3,FALSE),VLOOKUP('FOGLIO DEPOSITO'!$B$90,'FOGLIO DEPOSITO'!$C$16:$O$26,'FOGLIO DEPOSITO'!I3,FALSE))</f>
        <v>1.3</v>
      </c>
      <c r="J33" s="18" t="s">
        <v>24</v>
      </c>
    </row>
    <row r="34" spans="2:10">
      <c r="B34" s="9" t="s">
        <v>31</v>
      </c>
      <c r="C34" s="7">
        <v>1</v>
      </c>
      <c r="D34" s="7">
        <v>2</v>
      </c>
      <c r="I34" s="21"/>
      <c r="J34" s="3"/>
    </row>
    <row r="35" spans="2:10">
      <c r="B35" s="9" t="s">
        <v>32</v>
      </c>
      <c r="C35" s="7">
        <v>1</v>
      </c>
      <c r="D35" s="7">
        <v>2</v>
      </c>
      <c r="F35" s="1" t="s">
        <v>59</v>
      </c>
      <c r="G35" s="1">
        <v>2</v>
      </c>
      <c r="I35" s="21">
        <f>IF('FOGLIO DEPOSITO'!$D$45=1,VLOOKUP('FOGLIO DEPOSITO'!$B$90,'FOGLIO DEPOSITO'!$C$5:$O$15,'FOGLIO DEPOSITO'!J3,FALSE),VLOOKUP('FOGLIO DEPOSITO'!$B$90,'FOGLIO DEPOSITO'!$C$16:$O$26,'FOGLIO DEPOSITO'!J3,FALSE))</f>
        <v>1</v>
      </c>
      <c r="J35" s="18" t="s">
        <v>51</v>
      </c>
    </row>
    <row r="36" spans="2:10">
      <c r="B36" s="9" t="s">
        <v>33</v>
      </c>
      <c r="C36" s="7">
        <v>1</v>
      </c>
      <c r="D36" s="7">
        <v>2</v>
      </c>
      <c r="F36" s="1" t="s">
        <v>60</v>
      </c>
      <c r="G36" s="1">
        <v>1</v>
      </c>
      <c r="I36" s="21"/>
      <c r="J36" s="3"/>
    </row>
    <row r="37" spans="2:10">
      <c r="B37" s="9" t="s">
        <v>34</v>
      </c>
      <c r="C37" s="7">
        <v>1</v>
      </c>
      <c r="D37" s="7">
        <v>2</v>
      </c>
      <c r="F37" s="1" t="s">
        <v>141</v>
      </c>
      <c r="G37" s="1">
        <f>'FOGLIO DEPOSITO'!F188</f>
        <v>2.5</v>
      </c>
      <c r="I37" s="21">
        <f>IF('FOGLIO DEPOSITO'!$D$45=1,VLOOKUP('FOGLIO DEPOSITO'!$B$90,'FOGLIO DEPOSITO'!$C$5:$O$15,'FOGLIO DEPOSITO'!K3,FALSE),VLOOKUP('FOGLIO DEPOSITO'!$B$90,'FOGLIO DEPOSITO'!$C$16:$O$26,'FOGLIO DEPOSITO'!K3,FALSE))</f>
        <v>1.1000000000000001</v>
      </c>
      <c r="J37" s="18" t="s">
        <v>52</v>
      </c>
    </row>
    <row r="38" spans="2:10">
      <c r="B38" s="9" t="s">
        <v>35</v>
      </c>
      <c r="C38" s="7">
        <v>1</v>
      </c>
      <c r="D38" s="7">
        <v>2</v>
      </c>
      <c r="I38" s="21"/>
      <c r="J38" s="3"/>
    </row>
    <row r="39" spans="2:10">
      <c r="B39" s="9" t="s">
        <v>36</v>
      </c>
      <c r="C39" s="7">
        <v>1</v>
      </c>
      <c r="D39" s="7">
        <v>2</v>
      </c>
      <c r="I39" s="21">
        <f>IF('FOGLIO DEPOSITO'!$D$45=1,VLOOKUP('FOGLIO DEPOSITO'!$B$90,'FOGLIO DEPOSITO'!$C$5:$O$15,'FOGLIO DEPOSITO'!L3,FALSE),VLOOKUP('FOGLIO DEPOSITO'!$B$90,'FOGLIO DEPOSITO'!$C$16:$O$26,'FOGLIO DEPOSITO'!L3,FALSE))</f>
        <v>1.3</v>
      </c>
      <c r="J39" s="18" t="s">
        <v>50</v>
      </c>
    </row>
    <row r="40" spans="2:10">
      <c r="B40" s="9" t="s">
        <v>37</v>
      </c>
      <c r="C40" s="7">
        <v>1</v>
      </c>
      <c r="D40" s="7">
        <v>2</v>
      </c>
      <c r="I40" s="21"/>
      <c r="J40" s="3"/>
    </row>
    <row r="41" spans="2:10">
      <c r="B41" s="9" t="s">
        <v>38</v>
      </c>
      <c r="C41" s="7">
        <v>1</v>
      </c>
      <c r="D41" s="7">
        <v>2</v>
      </c>
      <c r="I41" s="21">
        <f>IF('FOGLIO DEPOSITO'!$D$45=1,VLOOKUP('FOGLIO DEPOSITO'!$B$90,'FOGLIO DEPOSITO'!$C$5:$O$15,'FOGLIO DEPOSITO'!M3,FALSE),VLOOKUP('FOGLIO DEPOSITO'!$B$90,'FOGLIO DEPOSITO'!$C$16:$O$26,'FOGLIO DEPOSITO'!M3,FALSE))</f>
        <v>0.8</v>
      </c>
      <c r="J41" s="18" t="s">
        <v>53</v>
      </c>
    </row>
    <row r="42" spans="2:10">
      <c r="B42" s="9" t="s">
        <v>39</v>
      </c>
      <c r="C42" s="7">
        <v>1</v>
      </c>
      <c r="D42" s="7">
        <v>2</v>
      </c>
      <c r="I42" s="21"/>
      <c r="J42" s="3"/>
    </row>
    <row r="43" spans="2:10">
      <c r="I43" s="21">
        <f>IF('FOGLIO DEPOSITO'!$D$45=1,VLOOKUP('FOGLIO DEPOSITO'!$B$90,'FOGLIO DEPOSITO'!$C$5:$O$15,'FOGLIO DEPOSITO'!N3,FALSE),VLOOKUP('FOGLIO DEPOSITO'!$B$90,'FOGLIO DEPOSITO'!$C$16:$O$26,'FOGLIO DEPOSITO'!N3,FALSE))</f>
        <v>1.5</v>
      </c>
      <c r="J43" s="3" t="s">
        <v>54</v>
      </c>
    </row>
    <row r="44" spans="2:10">
      <c r="I44" s="21"/>
      <c r="J44" s="3"/>
    </row>
    <row r="45" spans="2:10">
      <c r="B45" s="13" t="s">
        <v>48</v>
      </c>
      <c r="C45" s="14">
        <v>1.35</v>
      </c>
      <c r="D45" s="17">
        <f>IF('FOGLIO DEPOSITO'!F167="LC1",2,1)</f>
        <v>2</v>
      </c>
      <c r="I45" s="21">
        <f>IF('FOGLIO DEPOSITO'!$D$45=1,VLOOKUP('FOGLIO DEPOSITO'!$B$90,'FOGLIO DEPOSITO'!$C$5:$O$15,'FOGLIO DEPOSITO'!O3,FALSE),VLOOKUP('FOGLIO DEPOSITO'!$B$90,'FOGLIO DEPOSITO'!$C$16:$O$26,'FOGLIO DEPOSITO'!O3,FALSE))</f>
        <v>1.5</v>
      </c>
      <c r="J45" s="3" t="s">
        <v>93</v>
      </c>
    </row>
    <row r="46" spans="2:10">
      <c r="B46" s="13" t="s">
        <v>43</v>
      </c>
      <c r="C46" s="14">
        <v>1.2</v>
      </c>
    </row>
    <row r="47" spans="2:10">
      <c r="B47" s="13" t="s">
        <v>49</v>
      </c>
      <c r="C47" s="14">
        <v>1</v>
      </c>
    </row>
    <row r="54" spans="5:11">
      <c r="E54" s="46" t="s">
        <v>7</v>
      </c>
      <c r="F54" s="47">
        <f>'Caratteristiche Materiale c617'!J18</f>
        <v>21</v>
      </c>
      <c r="G54" s="47" t="s">
        <v>112</v>
      </c>
      <c r="J54" s="52" t="s">
        <v>132</v>
      </c>
      <c r="K54" s="17">
        <v>1</v>
      </c>
    </row>
    <row r="55" spans="5:11" ht="18.75">
      <c r="E55" s="48" t="s">
        <v>8</v>
      </c>
      <c r="F55" s="47">
        <f>'Caratteristiche Materiale c617'!J19</f>
        <v>3380</v>
      </c>
      <c r="G55" s="47" t="s">
        <v>110</v>
      </c>
      <c r="J55" s="52" t="s">
        <v>133</v>
      </c>
      <c r="K55" s="17">
        <v>0.75</v>
      </c>
    </row>
    <row r="56" spans="5:11" ht="18.75">
      <c r="E56" s="48" t="s">
        <v>111</v>
      </c>
      <c r="F56" s="49">
        <f>'Caratteristiche Materiale c617'!J22</f>
        <v>1251.8518518518517</v>
      </c>
      <c r="G56" s="47" t="s">
        <v>110</v>
      </c>
      <c r="J56" s="52" t="s">
        <v>134</v>
      </c>
      <c r="K56" s="17">
        <v>0.5</v>
      </c>
    </row>
    <row r="57" spans="5:11" ht="18.75">
      <c r="E57" s="50" t="s">
        <v>3</v>
      </c>
      <c r="F57" s="49">
        <f>'Caratteristiche Materiale c617'!J20</f>
        <v>72.8</v>
      </c>
      <c r="G57" s="47" t="s">
        <v>110</v>
      </c>
    </row>
    <row r="58" spans="5:11">
      <c r="E58" s="47"/>
      <c r="F58" s="47"/>
      <c r="G58" s="47"/>
    </row>
    <row r="59" spans="5:11">
      <c r="E59" s="46" t="s">
        <v>0</v>
      </c>
      <c r="F59" s="49">
        <f>'FOGLIO DEPOSITO'!F168</f>
        <v>1.35</v>
      </c>
      <c r="G59" s="47" t="s">
        <v>109</v>
      </c>
    </row>
    <row r="60" spans="5:11" ht="18.75">
      <c r="E60" s="51" t="s">
        <v>6</v>
      </c>
      <c r="F60" s="47">
        <f>'FOGLIO DEPOSITO'!F187</f>
        <v>2</v>
      </c>
      <c r="G60" s="47" t="s">
        <v>109</v>
      </c>
    </row>
    <row r="61" spans="5:11">
      <c r="E61" s="3"/>
      <c r="F61" s="3"/>
      <c r="G61" s="3"/>
    </row>
    <row r="65" spans="5:6">
      <c r="E65" s="3"/>
      <c r="F65" s="3"/>
    </row>
    <row r="66" spans="5:6">
      <c r="E66" s="3">
        <v>0</v>
      </c>
      <c r="F66" s="3">
        <v>0</v>
      </c>
    </row>
    <row r="67" spans="5:6">
      <c r="E67" s="3">
        <v>-6.9999999999999999E-4</v>
      </c>
      <c r="F67" s="3">
        <v>0</v>
      </c>
    </row>
    <row r="68" spans="5:6">
      <c r="E68" s="3">
        <v>-6.9999999999999999E-4</v>
      </c>
      <c r="F68" s="44">
        <f>'LEGAME COSTITUTIVO'!H11</f>
        <v>-1251.8518518518517</v>
      </c>
    </row>
    <row r="69" spans="5:6">
      <c r="E69" s="3">
        <v>-3.5000000000000001E-3</v>
      </c>
      <c r="F69" s="44">
        <f>F68</f>
        <v>-1251.8518518518517</v>
      </c>
    </row>
    <row r="70" spans="5:6">
      <c r="E70" s="3">
        <f>E69</f>
        <v>-3.5000000000000001E-3</v>
      </c>
      <c r="F70" s="3">
        <v>0</v>
      </c>
    </row>
    <row r="90" spans="2:11">
      <c r="B90" s="248" t="str">
        <f>'FOGLIO DEPOSITO'!B164</f>
        <v xml:space="preserve">Muratura in pietre a spacco con buona tessitura </v>
      </c>
      <c r="C90" s="248"/>
      <c r="D90" s="248"/>
      <c r="E90" s="248"/>
      <c r="F90" s="248"/>
      <c r="G90" s="249" t="s">
        <v>19</v>
      </c>
      <c r="H90" s="249" t="s">
        <v>20</v>
      </c>
      <c r="I90" s="249" t="s">
        <v>21</v>
      </c>
      <c r="J90" s="249" t="s">
        <v>22</v>
      </c>
      <c r="K90" s="249" t="s">
        <v>23</v>
      </c>
    </row>
    <row r="91" spans="2:11">
      <c r="B91" s="248"/>
      <c r="C91" s="248"/>
      <c r="D91" s="248"/>
      <c r="E91" s="248"/>
      <c r="F91" s="248"/>
      <c r="G91" s="249"/>
      <c r="H91" s="249"/>
      <c r="I91" s="249"/>
      <c r="J91" s="249"/>
      <c r="K91" s="249"/>
    </row>
    <row r="92" spans="2:11">
      <c r="B92" s="248"/>
      <c r="C92" s="248"/>
      <c r="D92" s="248"/>
      <c r="E92" s="248"/>
      <c r="F92" s="248"/>
      <c r="G92" s="24">
        <f>IF('FOGLIO DEPOSITO'!$D$45=1,VLOOKUP('FOGLIO DEPOSITO'!$B$90,'FOGLIO DEPOSITO'!$C$5:$O$15,'FOGLIO DEPOSITO'!D3,FALSE),VLOOKUP('FOGLIO DEPOSITO'!$B$90,'FOGLIO DEPOSITO'!$C$16:$O$26,'FOGLIO DEPOSITO'!D3,FALSE))</f>
        <v>260</v>
      </c>
      <c r="H92" s="24">
        <f>IF('FOGLIO DEPOSITO'!$D$45=1,VLOOKUP('FOGLIO DEPOSITO'!$B$90,'FOGLIO DEPOSITO'!$C$5:$O$15,'FOGLIO DEPOSITO'!E3,FALSE),VLOOKUP('FOGLIO DEPOSITO'!$B$90,'FOGLIO DEPOSITO'!$C$16:$O$26,'FOGLIO DEPOSITO'!E3,FALSE))</f>
        <v>5.6</v>
      </c>
      <c r="I92" s="6">
        <f>IF('FOGLIO DEPOSITO'!$D$45=1,VLOOKUP('FOGLIO DEPOSITO'!$B$90,'FOGLIO DEPOSITO'!$C$5:$O$15,'FOGLIO DEPOSITO'!F3,FALSE),VLOOKUP('FOGLIO DEPOSITO'!$B$90,'FOGLIO DEPOSITO'!$C$16:$O$26,'FOGLIO DEPOSITO'!F3,FALSE))</f>
        <v>1740</v>
      </c>
      <c r="J92" s="6">
        <f>IF('FOGLIO DEPOSITO'!$D$45=1,VLOOKUP('FOGLIO DEPOSITO'!$B$90,'FOGLIO DEPOSITO'!$C$5:$O$15,'FOGLIO DEPOSITO'!G3,FALSE),VLOOKUP('FOGLIO DEPOSITO'!$B$90,'FOGLIO DEPOSITO'!$C$16:$O$26,'FOGLIO DEPOSITO'!G3,FALSE))</f>
        <v>580</v>
      </c>
      <c r="K92" s="6">
        <f>IF('FOGLIO DEPOSITO'!$D$45=1,VLOOKUP('FOGLIO DEPOSITO'!$B$90,'FOGLIO DEPOSITO'!$C$5:$O$15,'FOGLIO DEPOSITO'!H3,FALSE),VLOOKUP('FOGLIO DEPOSITO'!$B$90,'FOGLIO DEPOSITO'!$C$16:$O$26,'FOGLIO DEPOSITO'!H3,FALSE))</f>
        <v>21</v>
      </c>
    </row>
    <row r="93" spans="2:11">
      <c r="B93" s="250" t="s">
        <v>24</v>
      </c>
      <c r="C93" s="250"/>
      <c r="D93" s="250"/>
      <c r="E93" s="250"/>
      <c r="F93" s="250"/>
      <c r="G93" s="6">
        <f>IF(G98&gt;1,1,IF('FOGLIO DEPOSITO'!F170="si",'FOGLIO DEPOSITO'!I33,1))</f>
        <v>1</v>
      </c>
      <c r="H93" s="6">
        <f>G93</f>
        <v>1</v>
      </c>
      <c r="I93" s="6">
        <f>G93</f>
        <v>1</v>
      </c>
      <c r="J93" s="6">
        <f>G93</f>
        <v>1</v>
      </c>
      <c r="K93" s="6">
        <v>1</v>
      </c>
    </row>
    <row r="94" spans="2:11">
      <c r="B94" s="250" t="s">
        <v>51</v>
      </c>
      <c r="C94" s="250"/>
      <c r="D94" s="250"/>
      <c r="E94" s="250"/>
      <c r="F94" s="250"/>
      <c r="G94" s="6">
        <f>IF('FOGLIO DEPOSITO'!F172="si",'FOGLIO DEPOSITO'!I35,1)</f>
        <v>1</v>
      </c>
      <c r="H94" s="6">
        <f>IF(G94&gt;1,(G94-1)/2+1,1)</f>
        <v>1</v>
      </c>
      <c r="I94" s="6">
        <f>G94</f>
        <v>1</v>
      </c>
      <c r="J94" s="6">
        <f>G94</f>
        <v>1</v>
      </c>
      <c r="K94" s="6">
        <v>1</v>
      </c>
    </row>
    <row r="95" spans="2:11">
      <c r="B95" s="250" t="s">
        <v>52</v>
      </c>
      <c r="C95" s="250"/>
      <c r="D95" s="250"/>
      <c r="E95" s="250"/>
      <c r="F95" s="250"/>
      <c r="G95" s="6">
        <f>IF('FOGLIO DEPOSITO'!F174="si",'FOGLIO DEPOSITO'!I37,1)</f>
        <v>1</v>
      </c>
      <c r="H95" s="6">
        <f>G95</f>
        <v>1</v>
      </c>
      <c r="I95" s="6">
        <v>1</v>
      </c>
      <c r="J95" s="6">
        <v>1</v>
      </c>
      <c r="K95" s="6">
        <v>1</v>
      </c>
    </row>
    <row r="96" spans="2:11">
      <c r="B96" s="250" t="s">
        <v>50</v>
      </c>
      <c r="C96" s="250"/>
      <c r="D96" s="250"/>
      <c r="E96" s="250"/>
      <c r="F96" s="250"/>
      <c r="G96" s="6">
        <f>IF('FOGLIO DEPOSITO'!F176="si",'FOGLIO DEPOSITO'!I39,1)</f>
        <v>1.3</v>
      </c>
      <c r="H96" s="6">
        <f>G96</f>
        <v>1.3</v>
      </c>
      <c r="I96" s="6">
        <v>1</v>
      </c>
      <c r="J96" s="6">
        <v>1</v>
      </c>
      <c r="K96" s="6">
        <v>1</v>
      </c>
    </row>
    <row r="97" spans="2:13">
      <c r="B97" s="250" t="s">
        <v>53</v>
      </c>
      <c r="C97" s="250"/>
      <c r="D97" s="250"/>
      <c r="E97" s="250"/>
      <c r="F97" s="250"/>
      <c r="G97" s="6">
        <f>IF('FOGLIO DEPOSITO'!F178="si",'FOGLIO DEPOSITO'!I41,1)</f>
        <v>1</v>
      </c>
      <c r="H97" s="5">
        <f>G97</f>
        <v>1</v>
      </c>
      <c r="I97" s="6">
        <f>G97</f>
        <v>1</v>
      </c>
      <c r="J97" s="6">
        <f>G97</f>
        <v>1</v>
      </c>
      <c r="K97" s="6">
        <v>1</v>
      </c>
    </row>
    <row r="98" spans="2:13">
      <c r="B98" s="251" t="s">
        <v>54</v>
      </c>
      <c r="C98" s="251"/>
      <c r="D98" s="251"/>
      <c r="E98" s="251"/>
      <c r="F98" s="251"/>
      <c r="G98" s="6">
        <f>IF('FOGLIO DEPOSITO'!F180="si",'FOGLIO DEPOSITO'!I43,1)</f>
        <v>1</v>
      </c>
      <c r="H98" s="6">
        <f>G98</f>
        <v>1</v>
      </c>
      <c r="I98" s="6">
        <f>G98</f>
        <v>1</v>
      </c>
      <c r="J98" s="6">
        <f>G98</f>
        <v>1</v>
      </c>
      <c r="K98" s="6">
        <v>1</v>
      </c>
    </row>
    <row r="99" spans="2:13">
      <c r="B99" s="251" t="s">
        <v>93</v>
      </c>
      <c r="C99" s="251"/>
      <c r="D99" s="251"/>
      <c r="E99" s="251"/>
      <c r="F99" s="251"/>
      <c r="G99" s="23">
        <f>IF('FOGLIO DEPOSITO'!F182="si",'FOGLIO DEPOSITO'!I45,1)</f>
        <v>1</v>
      </c>
      <c r="H99" s="23">
        <f>G99</f>
        <v>1</v>
      </c>
      <c r="I99" s="23">
        <f>G99</f>
        <v>1</v>
      </c>
      <c r="J99" s="23">
        <f>G99</f>
        <v>1</v>
      </c>
      <c r="K99" s="23">
        <v>1</v>
      </c>
    </row>
    <row r="102" spans="2:13">
      <c r="G102" s="81">
        <f>'Caratteristiche Materiale c617'!G6*'Caratteristiche Materiale c617'!G7*'Caratteristiche Materiale c617'!G8*'Caratteristiche Materiale c617'!G9*'Caratteristiche Materiale c617'!G10*'Caratteristiche Materiale c617'!G11*'Caratteristiche Materiale c617'!G12*'Caratteristiche Materiale c617'!G13</f>
        <v>338</v>
      </c>
      <c r="H102" s="81">
        <f>'Caratteristiche Materiale c617'!H6*'Caratteristiche Materiale c617'!H7*'Caratteristiche Materiale c617'!H8*'Caratteristiche Materiale c617'!H9*'Caratteristiche Materiale c617'!H10*'Caratteristiche Materiale c617'!H11*'Caratteristiche Materiale c617'!H12*'Caratteristiche Materiale c617'!H13</f>
        <v>7.2799999999999994</v>
      </c>
      <c r="I102" s="81">
        <f>'Caratteristiche Materiale c617'!I6*'Caratteristiche Materiale c617'!I7*'Caratteristiche Materiale c617'!I8*'Caratteristiche Materiale c617'!I9*'Caratteristiche Materiale c617'!I10*'Caratteristiche Materiale c617'!I11*'Caratteristiche Materiale c617'!I12*'Caratteristiche Materiale c617'!I13</f>
        <v>1740</v>
      </c>
      <c r="J102" s="81">
        <f>'Caratteristiche Materiale c617'!J6*'Caratteristiche Materiale c617'!J7*'Caratteristiche Materiale c617'!J8*'Caratteristiche Materiale c617'!J9*'Caratteristiche Materiale c617'!J10*'Caratteristiche Materiale c617'!J11*'Caratteristiche Materiale c617'!J12*'Caratteristiche Materiale c617'!J13</f>
        <v>580</v>
      </c>
      <c r="K102" s="81">
        <f>'Caratteristiche Materiale c617'!K6*'Caratteristiche Materiale c617'!K7*'Caratteristiche Materiale c617'!K8*'Caratteristiche Materiale c617'!K9*'Caratteristiche Materiale c617'!K10*'Caratteristiche Materiale c617'!K11*'Caratteristiche Materiale c617'!K12*'Caratteristiche Materiale c617'!K13</f>
        <v>21</v>
      </c>
      <c r="M102" s="82">
        <f>VLOOKUP('FOGLIO DEPOSITO'!F184,'FOGLIO DEPOSITO'!J54:K56,2,FALSE)</f>
        <v>0.75</v>
      </c>
    </row>
    <row r="107" spans="2:13">
      <c r="B107" s="28"/>
      <c r="C107" s="28"/>
      <c r="D107" s="28"/>
      <c r="E107" s="28"/>
      <c r="F107" s="28"/>
    </row>
    <row r="108" spans="2:13">
      <c r="B108" s="29" t="s">
        <v>66</v>
      </c>
      <c r="C108" s="28"/>
      <c r="D108" s="28"/>
      <c r="E108" s="28"/>
      <c r="F108" s="28"/>
    </row>
    <row r="109" spans="2:13" ht="15.75" thickBot="1">
      <c r="B109" s="28"/>
      <c r="C109" s="28"/>
      <c r="D109" s="28"/>
      <c r="E109" s="28"/>
      <c r="F109" s="28"/>
    </row>
    <row r="110" spans="2:13" ht="16.5" thickTop="1" thickBot="1">
      <c r="B110" s="28" t="s">
        <v>67</v>
      </c>
      <c r="C110" s="28"/>
      <c r="D110" s="28"/>
      <c r="E110" s="35" t="s">
        <v>11</v>
      </c>
      <c r="F110" s="26">
        <v>250</v>
      </c>
    </row>
    <row r="111" spans="2:13" ht="16.5" thickTop="1" thickBot="1">
      <c r="B111" s="28" t="s">
        <v>68</v>
      </c>
      <c r="C111" s="28"/>
      <c r="D111" s="28"/>
      <c r="E111" s="35" t="s">
        <v>15</v>
      </c>
      <c r="F111" s="26">
        <v>50</v>
      </c>
    </row>
    <row r="112" spans="2:13" ht="16.5" thickTop="1" thickBot="1">
      <c r="B112" s="28" t="s">
        <v>69</v>
      </c>
      <c r="C112" s="28"/>
      <c r="D112" s="28"/>
      <c r="E112" s="35" t="s">
        <v>16</v>
      </c>
      <c r="F112" s="27">
        <v>121</v>
      </c>
    </row>
    <row r="113" spans="2:7" ht="16.5" thickTop="1" thickBot="1">
      <c r="B113" s="28" t="s">
        <v>70</v>
      </c>
      <c r="C113" s="28"/>
      <c r="D113" s="28"/>
      <c r="E113" s="35" t="s">
        <v>17</v>
      </c>
      <c r="F113" s="27">
        <v>25</v>
      </c>
    </row>
    <row r="114" spans="2:7" ht="15.75" thickTop="1"/>
    <row r="116" spans="2:7">
      <c r="D116" s="149" t="s">
        <v>352</v>
      </c>
      <c r="E116" s="149" t="s">
        <v>351</v>
      </c>
      <c r="G116" s="148"/>
    </row>
    <row r="117" spans="2:7">
      <c r="B117" s="8">
        <v>1</v>
      </c>
      <c r="C117" s="9" t="s">
        <v>339</v>
      </c>
      <c r="D117" s="8">
        <v>2</v>
      </c>
      <c r="E117" s="8">
        <v>0.3</v>
      </c>
      <c r="G117" s="8"/>
    </row>
    <row r="118" spans="2:7">
      <c r="B118" s="8">
        <v>2</v>
      </c>
      <c r="C118" s="9" t="s">
        <v>340</v>
      </c>
      <c r="D118" s="8">
        <v>2</v>
      </c>
      <c r="E118" s="8">
        <v>0.3</v>
      </c>
      <c r="G118" s="8"/>
    </row>
    <row r="119" spans="2:7">
      <c r="B119" s="8">
        <v>3</v>
      </c>
      <c r="C119" s="9" t="s">
        <v>341</v>
      </c>
      <c r="D119" s="8">
        <v>3</v>
      </c>
      <c r="E119" s="8">
        <v>0.3</v>
      </c>
      <c r="G119" s="8"/>
    </row>
    <row r="120" spans="2:7">
      <c r="B120" s="8">
        <v>4</v>
      </c>
      <c r="C120" s="9" t="s">
        <v>342</v>
      </c>
      <c r="D120" s="8">
        <v>3</v>
      </c>
      <c r="E120" s="8">
        <v>0.6</v>
      </c>
      <c r="G120" s="8"/>
    </row>
    <row r="121" spans="2:7">
      <c r="B121" s="8">
        <v>5</v>
      </c>
      <c r="C121" s="9" t="s">
        <v>343</v>
      </c>
      <c r="D121" s="8">
        <v>4</v>
      </c>
      <c r="E121" s="8">
        <v>0.6</v>
      </c>
      <c r="G121" s="8"/>
    </row>
    <row r="122" spans="2:7">
      <c r="B122" s="8">
        <v>6</v>
      </c>
      <c r="C122" s="9" t="s">
        <v>344</v>
      </c>
      <c r="D122" s="8">
        <v>5</v>
      </c>
      <c r="E122" s="8">
        <v>0.6</v>
      </c>
      <c r="G122" s="8"/>
    </row>
    <row r="123" spans="2:7">
      <c r="B123" s="8">
        <v>7</v>
      </c>
      <c r="C123" s="9" t="s">
        <v>345</v>
      </c>
      <c r="D123" s="8">
        <v>4</v>
      </c>
      <c r="E123" s="8">
        <v>0.6</v>
      </c>
      <c r="G123" s="8"/>
    </row>
    <row r="124" spans="2:7">
      <c r="B124" s="8">
        <v>8</v>
      </c>
      <c r="C124" s="9" t="s">
        <v>346</v>
      </c>
      <c r="D124" s="8">
        <v>5</v>
      </c>
      <c r="E124" s="8">
        <v>0.6</v>
      </c>
      <c r="G124" s="8"/>
    </row>
    <row r="125" spans="2:7">
      <c r="B125" s="8">
        <v>9</v>
      </c>
      <c r="C125" s="9" t="s">
        <v>347</v>
      </c>
      <c r="D125" s="8">
        <v>6</v>
      </c>
      <c r="E125" s="8">
        <v>0.8</v>
      </c>
      <c r="G125" s="8"/>
    </row>
    <row r="126" spans="2:7">
      <c r="B126" s="8">
        <v>10</v>
      </c>
      <c r="C126" s="9" t="s">
        <v>348</v>
      </c>
      <c r="D126" s="8">
        <v>0.5</v>
      </c>
      <c r="E126" s="147">
        <v>0</v>
      </c>
      <c r="G126" s="8"/>
    </row>
    <row r="127" spans="2:7">
      <c r="B127" s="8">
        <v>11</v>
      </c>
      <c r="C127" s="9" t="s">
        <v>349</v>
      </c>
      <c r="D127" s="8">
        <v>0</v>
      </c>
      <c r="E127" s="8">
        <v>0</v>
      </c>
      <c r="G127" s="8"/>
    </row>
    <row r="128" spans="2:7">
      <c r="B128" s="8">
        <v>12</v>
      </c>
      <c r="C128" s="9" t="s">
        <v>350</v>
      </c>
      <c r="D128" s="8">
        <v>0</v>
      </c>
      <c r="E128" s="8">
        <v>0.2</v>
      </c>
      <c r="G128" s="8"/>
    </row>
    <row r="132" spans="2:6">
      <c r="B132" s="29" t="s">
        <v>64</v>
      </c>
      <c r="C132" s="29"/>
      <c r="D132" s="30"/>
      <c r="E132" s="28"/>
      <c r="F132" s="28"/>
    </row>
    <row r="133" spans="2:6" ht="15.75" thickBot="1">
      <c r="B133" s="31"/>
      <c r="C133" s="31"/>
      <c r="D133" s="28"/>
      <c r="E133" s="28"/>
      <c r="F133" s="28"/>
    </row>
    <row r="134" spans="2:6" ht="16.5" thickTop="1" thickBot="1">
      <c r="B134" s="28" t="s">
        <v>45</v>
      </c>
      <c r="C134" s="28"/>
      <c r="D134" s="28"/>
      <c r="E134" s="32" t="s">
        <v>9</v>
      </c>
      <c r="F134" s="22">
        <v>3</v>
      </c>
    </row>
    <row r="135" spans="2:6" ht="16.5" thickTop="1" thickBot="1">
      <c r="B135" s="28" t="s">
        <v>46</v>
      </c>
      <c r="C135" s="28"/>
      <c r="D135" s="28"/>
      <c r="E135" s="32" t="s">
        <v>10</v>
      </c>
      <c r="F135" s="22">
        <v>0.45</v>
      </c>
    </row>
    <row r="136" spans="2:6" ht="16.5" thickTop="1" thickBot="1">
      <c r="B136" s="28" t="s">
        <v>47</v>
      </c>
      <c r="C136" s="28"/>
      <c r="D136" s="28"/>
      <c r="E136" s="32" t="s">
        <v>40</v>
      </c>
      <c r="F136" s="22">
        <v>3.1</v>
      </c>
    </row>
    <row r="137" spans="2:6" ht="15.75" thickTop="1"/>
    <row r="139" spans="2:6">
      <c r="B139" s="152">
        <f>('VERIFICA ARCHITRAVE'!D59*1000*'VERIFICA ARCHITRAVE'!D64/1.05)*10^-6</f>
        <v>23.137813460919837</v>
      </c>
      <c r="C139" t="s">
        <v>362</v>
      </c>
    </row>
    <row r="140" spans="2:6">
      <c r="B140" s="152">
        <f>('VERIFICA ARCHITRAVE'!D57*1000*'VERIFICA ARCHITRAVE'!D64/1.05)*10^-6</f>
        <v>20.24986811621077</v>
      </c>
      <c r="C140" s="3" t="s">
        <v>363</v>
      </c>
    </row>
    <row r="141" spans="2:6">
      <c r="B141" s="152">
        <f>B140*0.7</f>
        <v>14.174907681347538</v>
      </c>
      <c r="C141" s="3" t="s">
        <v>364</v>
      </c>
    </row>
    <row r="144" spans="2:6" ht="15.75" thickBot="1"/>
    <row r="145" spans="2:11" ht="18.75" thickTop="1" thickBot="1">
      <c r="B145" s="257" t="s">
        <v>396</v>
      </c>
      <c r="C145" s="257"/>
      <c r="D145" s="257"/>
      <c r="E145" s="28" t="s">
        <v>380</v>
      </c>
      <c r="F145" s="12">
        <v>1.2</v>
      </c>
      <c r="G145" s="146" t="s">
        <v>272</v>
      </c>
    </row>
    <row r="146" spans="2:11" ht="15.75" thickTop="1"/>
    <row r="147" spans="2:11" ht="18.75">
      <c r="B147" s="143" t="s">
        <v>275</v>
      </c>
      <c r="C147" s="142"/>
      <c r="D147" s="142"/>
      <c r="E147" s="142"/>
      <c r="F147" s="142"/>
      <c r="G147" s="142"/>
      <c r="H147" s="142"/>
      <c r="I147" s="145" t="s">
        <v>403</v>
      </c>
      <c r="J147" s="153">
        <f>'FOGLIO DEPOSITO'!F145</f>
        <v>1.2</v>
      </c>
      <c r="K147" s="146" t="s">
        <v>272</v>
      </c>
    </row>
    <row r="163" spans="2:14" ht="15.75" thickBot="1"/>
    <row r="164" spans="2:14" ht="15.75" thickTop="1">
      <c r="B164" s="266" t="s">
        <v>31</v>
      </c>
      <c r="C164" s="267"/>
      <c r="D164" s="267"/>
      <c r="E164" s="267"/>
      <c r="F164" s="268"/>
      <c r="G164" s="28"/>
      <c r="H164" s="28"/>
      <c r="I164" s="28"/>
      <c r="J164" s="28"/>
      <c r="K164" s="28"/>
      <c r="L164" s="28"/>
      <c r="M164" s="28"/>
      <c r="N164" s="28"/>
    </row>
    <row r="165" spans="2:14" ht="15.75" thickBot="1">
      <c r="B165" s="269"/>
      <c r="C165" s="270"/>
      <c r="D165" s="270"/>
      <c r="E165" s="270"/>
      <c r="F165" s="271"/>
      <c r="G165" s="28"/>
      <c r="H165" s="28"/>
      <c r="I165" s="28"/>
      <c r="J165" s="28"/>
      <c r="K165" s="28"/>
      <c r="L165" s="28"/>
      <c r="M165" s="28"/>
      <c r="N165" s="28"/>
    </row>
    <row r="166" spans="2:14" ht="16.5" thickTop="1" thickBot="1">
      <c r="B166" s="28"/>
      <c r="C166" s="28"/>
      <c r="D166" s="28"/>
      <c r="E166" s="28"/>
      <c r="F166" s="28"/>
      <c r="G166" s="28"/>
      <c r="H166" s="28"/>
      <c r="I166" s="28"/>
      <c r="J166" s="28"/>
      <c r="K166" s="28"/>
      <c r="L166" s="28"/>
      <c r="M166" s="28"/>
      <c r="N166" s="28"/>
    </row>
    <row r="167" spans="2:14" ht="16.5" thickTop="1" thickBot="1">
      <c r="B167" s="28" t="s">
        <v>41</v>
      </c>
      <c r="C167" s="34"/>
      <c r="D167" s="28"/>
      <c r="E167" s="35" t="s">
        <v>42</v>
      </c>
      <c r="F167" s="12" t="s">
        <v>48</v>
      </c>
      <c r="G167" s="28"/>
      <c r="H167" s="28"/>
      <c r="I167" s="28"/>
      <c r="J167" s="28"/>
      <c r="K167" s="28"/>
      <c r="L167" s="28"/>
      <c r="M167" s="28"/>
      <c r="N167" s="28"/>
    </row>
    <row r="168" spans="2:14" ht="15.75" thickTop="1">
      <c r="B168" s="28" t="s">
        <v>44</v>
      </c>
      <c r="C168" s="34"/>
      <c r="D168" s="28"/>
      <c r="E168" s="35" t="s">
        <v>0</v>
      </c>
      <c r="F168" s="36">
        <f>VLOOKUP('FOGLIO DEPOSITO'!F167,'FOGLIO DEPOSITO'!B45:C47,2,FALSE)</f>
        <v>1.35</v>
      </c>
      <c r="G168" s="28"/>
      <c r="H168" s="28"/>
      <c r="I168" s="28"/>
      <c r="J168" s="28"/>
      <c r="K168" s="28"/>
      <c r="L168" s="28"/>
      <c r="M168" s="28"/>
      <c r="N168" s="28"/>
    </row>
    <row r="169" spans="2:14" ht="15.75" thickBot="1">
      <c r="B169" s="28"/>
      <c r="C169" s="28"/>
      <c r="D169" s="28"/>
      <c r="E169" s="28"/>
      <c r="F169" s="28"/>
      <c r="G169" s="28"/>
      <c r="H169" s="28"/>
      <c r="I169" s="28"/>
      <c r="J169" s="28"/>
      <c r="K169" s="28"/>
      <c r="L169" s="28"/>
      <c r="M169" s="28"/>
      <c r="N169" s="28"/>
    </row>
    <row r="170" spans="2:14" ht="16.5" thickTop="1" thickBot="1">
      <c r="B170" s="37" t="s">
        <v>24</v>
      </c>
      <c r="C170" s="28"/>
      <c r="F170" s="12" t="s">
        <v>56</v>
      </c>
      <c r="G170" s="28"/>
      <c r="H170" s="28"/>
      <c r="I170" s="28"/>
      <c r="J170" s="28"/>
      <c r="K170" s="28"/>
      <c r="L170" s="28"/>
      <c r="M170" s="28"/>
      <c r="N170" s="28"/>
    </row>
    <row r="171" spans="2:14" ht="16.5" thickTop="1" thickBot="1">
      <c r="B171" s="28"/>
      <c r="C171" s="28"/>
      <c r="F171" s="28"/>
      <c r="G171" s="28"/>
      <c r="H171" s="28"/>
      <c r="I171" s="28"/>
      <c r="J171" s="28"/>
      <c r="K171" s="28"/>
      <c r="L171" s="28"/>
      <c r="M171" s="28"/>
      <c r="N171" s="28"/>
    </row>
    <row r="172" spans="2:14" ht="16.5" thickTop="1" thickBot="1">
      <c r="B172" s="37" t="s">
        <v>51</v>
      </c>
      <c r="C172" s="28"/>
      <c r="F172" s="12" t="s">
        <v>56</v>
      </c>
      <c r="G172" s="28"/>
      <c r="H172" s="28"/>
      <c r="I172" s="28"/>
      <c r="J172" s="28"/>
      <c r="K172" s="28"/>
      <c r="L172" s="28"/>
      <c r="M172" s="28"/>
      <c r="N172" s="28"/>
    </row>
    <row r="173" spans="2:14" ht="16.5" thickTop="1" thickBot="1">
      <c r="B173" s="28"/>
      <c r="C173" s="28"/>
      <c r="F173" s="28"/>
      <c r="G173" s="28"/>
      <c r="H173" s="28"/>
      <c r="I173" s="28"/>
      <c r="J173" s="28"/>
      <c r="K173" s="28"/>
      <c r="L173" s="28"/>
      <c r="M173" s="28"/>
      <c r="N173" s="28"/>
    </row>
    <row r="174" spans="2:14" ht="16.5" thickTop="1" thickBot="1">
      <c r="B174" s="37" t="s">
        <v>52</v>
      </c>
      <c r="C174" s="28"/>
      <c r="F174" s="12" t="s">
        <v>56</v>
      </c>
      <c r="G174" s="28"/>
      <c r="H174" s="28"/>
      <c r="I174" s="28"/>
      <c r="J174" s="28"/>
      <c r="K174" s="28"/>
      <c r="L174" s="28"/>
      <c r="M174" s="28"/>
      <c r="N174" s="28"/>
    </row>
    <row r="175" spans="2:14" ht="16.5" thickTop="1" thickBot="1">
      <c r="B175" s="28"/>
      <c r="C175" s="28"/>
      <c r="F175" s="28"/>
      <c r="G175" s="28"/>
      <c r="H175" s="28"/>
      <c r="I175" s="28"/>
      <c r="J175" s="28"/>
      <c r="K175" s="28"/>
      <c r="L175" s="28"/>
      <c r="M175" s="28"/>
      <c r="N175" s="28"/>
    </row>
    <row r="176" spans="2:14" ht="16.5" thickTop="1" thickBot="1">
      <c r="B176" s="37" t="s">
        <v>50</v>
      </c>
      <c r="C176" s="28"/>
      <c r="F176" s="12" t="s">
        <v>55</v>
      </c>
      <c r="G176" s="28"/>
      <c r="H176" s="28"/>
      <c r="I176" s="28"/>
      <c r="J176" s="28"/>
      <c r="K176" s="28"/>
      <c r="L176" s="28"/>
      <c r="M176" s="28"/>
      <c r="N176" s="28"/>
    </row>
    <row r="177" spans="2:14" ht="16.5" thickTop="1" thickBot="1">
      <c r="B177" s="28"/>
      <c r="C177" s="28"/>
      <c r="F177" s="28"/>
      <c r="G177" s="28"/>
      <c r="H177" s="28"/>
      <c r="I177" s="28"/>
      <c r="J177" s="28"/>
      <c r="K177" s="28"/>
      <c r="L177" s="28"/>
      <c r="M177" s="28"/>
      <c r="N177" s="28"/>
    </row>
    <row r="178" spans="2:14" ht="16.5" thickTop="1" thickBot="1">
      <c r="B178" s="37" t="s">
        <v>53</v>
      </c>
      <c r="C178" s="28"/>
      <c r="F178" s="12" t="s">
        <v>56</v>
      </c>
      <c r="G178" s="28"/>
      <c r="H178" s="28"/>
      <c r="I178" s="28"/>
      <c r="J178" s="28"/>
      <c r="K178" s="28"/>
      <c r="L178" s="28"/>
      <c r="M178" s="28"/>
      <c r="N178" s="28"/>
    </row>
    <row r="179" spans="2:14" ht="16.5" thickTop="1" thickBot="1">
      <c r="B179" s="28"/>
      <c r="C179" s="28"/>
      <c r="F179" s="28"/>
      <c r="G179" s="28"/>
      <c r="H179" s="28"/>
      <c r="I179" s="28"/>
      <c r="J179" s="28"/>
      <c r="K179" s="28"/>
      <c r="L179" s="28"/>
      <c r="M179" s="28"/>
      <c r="N179" s="28"/>
    </row>
    <row r="180" spans="2:14" ht="16.5" thickTop="1" thickBot="1">
      <c r="B180" s="28" t="s">
        <v>54</v>
      </c>
      <c r="C180" s="28"/>
      <c r="F180" s="12" t="s">
        <v>56</v>
      </c>
      <c r="G180" s="28"/>
      <c r="H180" s="28"/>
      <c r="I180" s="28"/>
      <c r="J180" s="28"/>
      <c r="K180" s="28"/>
      <c r="L180" s="28"/>
      <c r="M180" s="28"/>
      <c r="N180" s="28"/>
    </row>
    <row r="181" spans="2:14" ht="16.5" thickTop="1" thickBot="1">
      <c r="B181" s="28"/>
      <c r="C181" s="28"/>
      <c r="F181" s="28"/>
      <c r="G181" s="28"/>
      <c r="H181" s="28"/>
      <c r="I181" s="28"/>
      <c r="J181" s="28"/>
      <c r="K181" s="28"/>
      <c r="L181" s="28"/>
      <c r="M181" s="28"/>
      <c r="N181" s="28"/>
    </row>
    <row r="182" spans="2:14" ht="16.5" thickTop="1" thickBot="1">
      <c r="B182" s="28" t="s">
        <v>93</v>
      </c>
      <c r="C182" s="28"/>
      <c r="D182" s="3"/>
      <c r="E182" s="3"/>
      <c r="F182" s="12" t="s">
        <v>56</v>
      </c>
      <c r="G182" s="28"/>
      <c r="H182" s="28"/>
      <c r="I182" s="28"/>
      <c r="J182" s="28"/>
      <c r="K182" s="28"/>
      <c r="L182" s="28"/>
      <c r="M182" s="28"/>
      <c r="N182" s="28"/>
    </row>
    <row r="183" spans="2:14" ht="16.5" thickTop="1" thickBot="1">
      <c r="B183" s="28"/>
      <c r="C183" s="28"/>
      <c r="D183" s="38"/>
      <c r="E183" s="39"/>
      <c r="F183" s="3"/>
      <c r="G183" s="28"/>
      <c r="H183" s="28"/>
      <c r="I183" s="28"/>
      <c r="J183" s="28"/>
      <c r="K183" s="28"/>
      <c r="L183" s="28"/>
      <c r="M183" s="28"/>
      <c r="N183" s="28"/>
    </row>
    <row r="184" spans="2:14" ht="16.5" thickTop="1" thickBot="1">
      <c r="B184" s="28" t="s">
        <v>139</v>
      </c>
      <c r="C184" s="28"/>
      <c r="D184" s="38"/>
      <c r="E184" s="3"/>
      <c r="F184" s="12" t="s">
        <v>133</v>
      </c>
      <c r="G184" s="28"/>
      <c r="H184" s="28"/>
      <c r="I184" s="28"/>
      <c r="J184" s="28"/>
      <c r="K184" s="28"/>
      <c r="L184" s="28"/>
      <c r="M184" s="28"/>
      <c r="N184" s="28"/>
    </row>
    <row r="185" spans="2:14" ht="16.5" thickTop="1" thickBot="1">
      <c r="B185" s="28"/>
      <c r="C185" s="28"/>
      <c r="D185" s="38"/>
      <c r="E185" s="39"/>
      <c r="F185" s="73"/>
      <c r="G185" s="28"/>
      <c r="H185" s="28"/>
      <c r="I185" s="28"/>
      <c r="J185" s="28"/>
      <c r="K185" s="28"/>
      <c r="L185" s="28"/>
      <c r="M185" s="28"/>
      <c r="N185" s="28"/>
    </row>
    <row r="186" spans="2:14" ht="16.5" thickTop="1" thickBot="1">
      <c r="B186" s="41" t="s">
        <v>102</v>
      </c>
      <c r="C186" s="28"/>
      <c r="D186" s="28"/>
      <c r="E186" s="28"/>
      <c r="F186" s="12" t="s">
        <v>59</v>
      </c>
      <c r="G186" s="28"/>
      <c r="H186" s="28"/>
      <c r="I186" s="28"/>
      <c r="J186" s="28"/>
      <c r="K186" s="28"/>
      <c r="L186" s="28"/>
      <c r="M186" s="28"/>
      <c r="N186" s="28"/>
    </row>
    <row r="187" spans="2:14" ht="16.5" thickTop="1" thickBot="1">
      <c r="B187" s="28" t="s">
        <v>137</v>
      </c>
      <c r="C187" s="28"/>
      <c r="D187" s="28"/>
      <c r="E187" s="28"/>
      <c r="F187" s="117">
        <f>VLOOKUP(F186,'FOGLIO DEPOSITO'!F35:G37,2,FALSE)</f>
        <v>2</v>
      </c>
      <c r="G187" s="28"/>
      <c r="H187" s="28"/>
      <c r="I187" s="28"/>
      <c r="J187" s="28"/>
      <c r="K187" s="28"/>
      <c r="L187" s="28"/>
      <c r="M187" s="28"/>
      <c r="N187" s="28"/>
    </row>
    <row r="188" spans="2:14" ht="16.5" thickTop="1" thickBot="1">
      <c r="B188" s="28" t="s">
        <v>142</v>
      </c>
      <c r="C188" s="28"/>
      <c r="D188" s="28"/>
      <c r="E188" s="28"/>
      <c r="F188" s="12">
        <v>2.5</v>
      </c>
      <c r="G188" s="28"/>
      <c r="H188" s="28"/>
      <c r="I188" s="28"/>
      <c r="J188" s="28"/>
      <c r="K188" s="28"/>
      <c r="L188" s="28"/>
      <c r="M188" s="28"/>
      <c r="N188" s="28"/>
    </row>
    <row r="189" spans="2:14" ht="15.75" thickTop="1">
      <c r="B189" s="28"/>
      <c r="C189" s="28"/>
      <c r="D189" s="28"/>
      <c r="E189" s="28"/>
      <c r="F189" s="73"/>
      <c r="G189" s="28"/>
      <c r="H189" s="28"/>
      <c r="I189" s="28"/>
      <c r="J189" s="28"/>
      <c r="K189" s="28"/>
      <c r="L189" s="28"/>
      <c r="M189" s="28"/>
      <c r="N189" s="28"/>
    </row>
    <row r="190" spans="2:14">
      <c r="B190" s="29" t="s">
        <v>398</v>
      </c>
      <c r="C190" s="28"/>
      <c r="D190" s="28"/>
      <c r="E190" s="28"/>
      <c r="F190" s="28"/>
      <c r="G190" s="28"/>
      <c r="H190" s="28"/>
      <c r="I190" s="28"/>
      <c r="J190" s="28"/>
      <c r="K190" s="28"/>
      <c r="L190" s="28"/>
      <c r="M190" s="28"/>
      <c r="N190" s="28"/>
    </row>
    <row r="191" spans="2:14" ht="15.75" thickBot="1">
      <c r="B191" s="28"/>
      <c r="C191" s="28"/>
      <c r="D191" s="28"/>
      <c r="E191" s="28"/>
      <c r="F191" s="28"/>
      <c r="G191" s="28"/>
      <c r="H191" s="28"/>
      <c r="I191" s="28"/>
      <c r="J191" s="28"/>
      <c r="K191" s="28"/>
      <c r="L191" s="28"/>
      <c r="M191" s="28"/>
      <c r="N191" s="28"/>
    </row>
    <row r="192" spans="2:14" ht="16.5" thickTop="1" thickBot="1">
      <c r="B192" s="28" t="s">
        <v>136</v>
      </c>
      <c r="C192" s="28"/>
      <c r="D192" s="38"/>
      <c r="E192" s="39"/>
      <c r="F192" s="12" t="s">
        <v>56</v>
      </c>
      <c r="G192" s="28"/>
      <c r="H192" s="28"/>
      <c r="I192" s="28"/>
      <c r="J192" s="28"/>
      <c r="K192" s="28"/>
      <c r="L192" s="28"/>
      <c r="M192" s="28"/>
      <c r="N192" s="28"/>
    </row>
    <row r="193" spans="2:14" ht="15.75" thickTop="1">
      <c r="B193" s="28" t="s">
        <v>140</v>
      </c>
      <c r="C193" s="28"/>
      <c r="D193" s="28"/>
      <c r="E193" s="28"/>
      <c r="F193" s="28"/>
      <c r="G193" s="28"/>
      <c r="H193" s="28"/>
      <c r="I193" s="28"/>
      <c r="J193" s="28"/>
      <c r="K193" s="28"/>
      <c r="L193" s="28"/>
      <c r="M193" s="28"/>
      <c r="N193" s="28"/>
    </row>
    <row r="194" spans="2:14">
      <c r="B194" s="76"/>
      <c r="C194" s="76"/>
      <c r="F194" s="248" t="s">
        <v>19</v>
      </c>
      <c r="G194" s="28"/>
      <c r="H194" s="28"/>
      <c r="I194" s="28"/>
      <c r="J194" s="28"/>
      <c r="K194" s="28"/>
      <c r="L194" s="28"/>
      <c r="M194" s="28"/>
      <c r="N194" s="28"/>
    </row>
    <row r="195" spans="2:14" ht="15.75" thickBot="1">
      <c r="B195" s="76"/>
      <c r="C195" s="76"/>
      <c r="F195" s="274"/>
      <c r="G195" s="28"/>
      <c r="H195" s="28"/>
      <c r="I195" s="28"/>
      <c r="J195" s="28"/>
      <c r="K195" s="28"/>
      <c r="L195" s="28"/>
      <c r="M195" s="28"/>
      <c r="N195" s="28"/>
    </row>
    <row r="196" spans="2:14" ht="16.5" thickTop="1" thickBot="1">
      <c r="D196" s="74" t="s">
        <v>24</v>
      </c>
      <c r="E196" s="77"/>
      <c r="F196" s="12">
        <v>1</v>
      </c>
      <c r="G196" s="28"/>
      <c r="H196" s="28"/>
      <c r="I196" s="28"/>
      <c r="J196" s="28"/>
      <c r="K196" s="28"/>
      <c r="L196" s="28"/>
      <c r="M196" s="28"/>
      <c r="N196" s="28"/>
    </row>
    <row r="197" spans="2:14" ht="16.5" thickTop="1" thickBot="1">
      <c r="D197" s="74" t="s">
        <v>51</v>
      </c>
      <c r="E197" s="77"/>
      <c r="F197" s="12">
        <v>1</v>
      </c>
      <c r="G197" s="28"/>
      <c r="H197" s="28"/>
      <c r="I197" s="28"/>
      <c r="J197" s="28"/>
      <c r="K197" s="28"/>
      <c r="L197" s="28"/>
      <c r="M197" s="28"/>
      <c r="N197" s="28"/>
    </row>
    <row r="198" spans="2:14" ht="16.5" thickTop="1" thickBot="1">
      <c r="D198" s="74" t="s">
        <v>52</v>
      </c>
      <c r="E198" s="77"/>
      <c r="F198" s="12">
        <v>1</v>
      </c>
      <c r="G198" s="28"/>
      <c r="H198" s="28"/>
      <c r="I198" s="28"/>
      <c r="J198" s="28"/>
      <c r="K198" s="28"/>
      <c r="L198" s="28"/>
      <c r="M198" s="28"/>
      <c r="N198" s="28"/>
    </row>
    <row r="199" spans="2:14" ht="16.5" thickTop="1" thickBot="1">
      <c r="D199" s="74" t="s">
        <v>50</v>
      </c>
      <c r="E199" s="77"/>
      <c r="F199" s="12">
        <v>1</v>
      </c>
      <c r="G199" s="28"/>
      <c r="H199" s="28"/>
      <c r="I199" s="28"/>
      <c r="J199" s="28"/>
      <c r="K199" s="28"/>
      <c r="L199" s="28"/>
      <c r="M199" s="28"/>
      <c r="N199" s="28"/>
    </row>
    <row r="200" spans="2:14" ht="16.5" thickTop="1" thickBot="1">
      <c r="D200" s="74" t="s">
        <v>53</v>
      </c>
      <c r="E200" s="77"/>
      <c r="F200" s="12">
        <v>1</v>
      </c>
      <c r="G200" s="28"/>
      <c r="H200" s="28"/>
      <c r="I200" s="28"/>
      <c r="J200" s="28"/>
      <c r="K200" s="28"/>
      <c r="L200" s="28"/>
      <c r="M200" s="28"/>
      <c r="N200" s="28"/>
    </row>
    <row r="201" spans="2:14" ht="16.5" thickTop="1" thickBot="1">
      <c r="D201" s="75" t="s">
        <v>54</v>
      </c>
      <c r="E201" s="78"/>
      <c r="F201" s="12">
        <v>1</v>
      </c>
      <c r="G201" s="28"/>
      <c r="H201" s="28"/>
      <c r="I201" s="28"/>
      <c r="J201" s="28"/>
      <c r="K201" s="28"/>
      <c r="L201" s="28"/>
      <c r="M201" s="28"/>
      <c r="N201" s="28"/>
    </row>
    <row r="202" spans="2:14" ht="16.5" thickTop="1" thickBot="1">
      <c r="D202" s="75" t="s">
        <v>93</v>
      </c>
      <c r="E202" s="78"/>
      <c r="F202" s="12">
        <v>1</v>
      </c>
      <c r="G202" s="28"/>
      <c r="H202" s="28"/>
      <c r="I202" s="28"/>
      <c r="J202" s="28"/>
      <c r="K202" s="28"/>
      <c r="L202" s="28"/>
      <c r="M202" s="28"/>
      <c r="N202" s="28"/>
    </row>
    <row r="203" spans="2:14" ht="15.75" thickTop="1">
      <c r="B203" s="28"/>
      <c r="C203" s="28"/>
      <c r="D203" s="28"/>
      <c r="E203" s="28"/>
      <c r="F203" s="28"/>
      <c r="G203" s="28"/>
      <c r="H203" s="28"/>
      <c r="I203" s="28"/>
      <c r="J203" s="28"/>
      <c r="K203" s="28"/>
      <c r="L203" s="28"/>
      <c r="M203" s="28"/>
      <c r="N203" s="28"/>
    </row>
    <row r="204" spans="2:14">
      <c r="B204" s="28"/>
      <c r="C204" s="28"/>
      <c r="D204" s="28"/>
      <c r="E204" s="28"/>
      <c r="F204" s="28"/>
      <c r="G204" s="28"/>
      <c r="H204" s="28"/>
      <c r="I204" s="28"/>
      <c r="J204" s="28"/>
      <c r="K204" s="28"/>
      <c r="L204" s="28"/>
      <c r="M204" s="28"/>
      <c r="N204" s="28"/>
    </row>
    <row r="205" spans="2:14">
      <c r="B205" s="28"/>
      <c r="C205" s="28"/>
      <c r="F205" s="248" t="s">
        <v>20</v>
      </c>
      <c r="G205" s="28"/>
      <c r="H205" s="28"/>
      <c r="I205" s="28"/>
      <c r="J205" s="28"/>
      <c r="K205" s="28"/>
      <c r="L205" s="28"/>
      <c r="M205" s="28"/>
      <c r="N205" s="28"/>
    </row>
    <row r="206" spans="2:14" ht="15.75" thickBot="1">
      <c r="B206" s="28"/>
      <c r="C206" s="28"/>
      <c r="F206" s="274"/>
      <c r="G206" s="28"/>
      <c r="H206" s="28"/>
      <c r="I206" s="28"/>
      <c r="J206" s="28"/>
      <c r="K206" s="28"/>
      <c r="L206" s="28"/>
      <c r="M206" s="28"/>
      <c r="N206" s="28"/>
    </row>
    <row r="207" spans="2:14" ht="16.5" thickTop="1" thickBot="1">
      <c r="B207" s="28"/>
      <c r="C207" s="28"/>
      <c r="D207" s="74" t="s">
        <v>24</v>
      </c>
      <c r="F207" s="12">
        <v>1</v>
      </c>
      <c r="G207" s="28"/>
      <c r="H207" s="28"/>
      <c r="I207" s="28"/>
      <c r="J207" s="28"/>
      <c r="K207" s="28"/>
      <c r="L207" s="28"/>
      <c r="M207" s="28"/>
      <c r="N207" s="28"/>
    </row>
    <row r="208" spans="2:14" ht="16.5" thickTop="1" thickBot="1">
      <c r="B208" s="28"/>
      <c r="C208" s="28"/>
      <c r="D208" s="74" t="s">
        <v>51</v>
      </c>
      <c r="F208" s="12">
        <v>1</v>
      </c>
      <c r="G208" s="28"/>
      <c r="H208" s="28"/>
      <c r="I208" s="28"/>
      <c r="J208" s="28"/>
      <c r="K208" s="28"/>
      <c r="L208" s="28"/>
      <c r="M208" s="28"/>
      <c r="N208" s="28"/>
    </row>
    <row r="209" spans="2:14" ht="16.5" thickTop="1" thickBot="1">
      <c r="B209" s="28"/>
      <c r="C209" s="28"/>
      <c r="D209" s="74" t="s">
        <v>52</v>
      </c>
      <c r="F209" s="12">
        <v>1</v>
      </c>
      <c r="G209" s="28"/>
      <c r="H209" s="28"/>
      <c r="I209" s="28"/>
      <c r="J209" s="28"/>
      <c r="K209" s="28"/>
      <c r="L209" s="28"/>
      <c r="M209" s="28"/>
      <c r="N209" s="28"/>
    </row>
    <row r="210" spans="2:14" ht="16.5" thickTop="1" thickBot="1">
      <c r="B210" s="28"/>
      <c r="C210" s="28"/>
      <c r="D210" s="74" t="s">
        <v>50</v>
      </c>
      <c r="F210" s="12">
        <v>1</v>
      </c>
      <c r="G210" s="28"/>
      <c r="H210" s="28"/>
      <c r="I210" s="28"/>
      <c r="J210" s="28"/>
      <c r="K210" s="28"/>
      <c r="L210" s="28"/>
      <c r="M210" s="28"/>
      <c r="N210" s="28"/>
    </row>
    <row r="211" spans="2:14" ht="16.5" thickTop="1" thickBot="1">
      <c r="B211" s="28"/>
      <c r="C211" s="28"/>
      <c r="D211" s="74" t="s">
        <v>53</v>
      </c>
      <c r="F211" s="79">
        <v>1</v>
      </c>
      <c r="G211" s="28"/>
      <c r="H211" s="28"/>
      <c r="I211" s="28"/>
      <c r="J211" s="28"/>
      <c r="K211" s="28"/>
      <c r="L211" s="28"/>
      <c r="M211" s="28"/>
      <c r="N211" s="28"/>
    </row>
    <row r="212" spans="2:14" ht="16.5" thickTop="1" thickBot="1">
      <c r="B212" s="28"/>
      <c r="C212" s="28"/>
      <c r="D212" s="75" t="s">
        <v>54</v>
      </c>
      <c r="F212" s="12">
        <v>1</v>
      </c>
      <c r="G212" s="28"/>
      <c r="H212" s="28"/>
      <c r="I212" s="28"/>
      <c r="J212" s="28"/>
      <c r="K212" s="28"/>
      <c r="L212" s="28"/>
      <c r="M212" s="28"/>
      <c r="N212" s="28"/>
    </row>
    <row r="213" spans="2:14" ht="16.5" thickTop="1" thickBot="1">
      <c r="B213" s="28"/>
      <c r="C213" s="28"/>
      <c r="D213" s="75" t="s">
        <v>93</v>
      </c>
      <c r="F213" s="12">
        <v>1</v>
      </c>
      <c r="G213" s="28"/>
      <c r="H213" s="28"/>
      <c r="I213" s="28"/>
      <c r="J213" s="28"/>
      <c r="K213" s="28"/>
      <c r="L213" s="28"/>
      <c r="M213" s="28"/>
      <c r="N213" s="28"/>
    </row>
    <row r="214" spans="2:14" ht="15.75" thickTop="1">
      <c r="B214" s="28"/>
      <c r="C214" s="28"/>
      <c r="G214" s="28"/>
      <c r="H214" s="28"/>
      <c r="I214" s="28"/>
      <c r="J214" s="28"/>
      <c r="K214" s="28"/>
      <c r="L214" s="28"/>
      <c r="M214" s="28"/>
      <c r="N214" s="28"/>
    </row>
    <row r="215" spans="2:14">
      <c r="B215" s="28"/>
      <c r="C215" s="28"/>
      <c r="D215" s="28"/>
      <c r="E215" s="28"/>
      <c r="F215" s="28"/>
      <c r="G215" s="28"/>
      <c r="H215" s="28"/>
      <c r="I215" s="28"/>
      <c r="J215" s="28"/>
      <c r="K215" s="28"/>
      <c r="L215" s="28"/>
      <c r="M215" s="28"/>
      <c r="N215" s="28"/>
    </row>
    <row r="216" spans="2:14">
      <c r="B216" s="28"/>
      <c r="C216" s="28"/>
      <c r="D216" s="28"/>
      <c r="E216" s="28"/>
      <c r="F216" s="248" t="s">
        <v>21</v>
      </c>
      <c r="G216" s="28"/>
      <c r="H216" s="28"/>
      <c r="I216" s="28"/>
      <c r="J216" s="28"/>
      <c r="K216" s="28"/>
      <c r="L216" s="28"/>
      <c r="M216" s="28"/>
      <c r="N216" s="28"/>
    </row>
    <row r="217" spans="2:14" ht="15.75" thickBot="1">
      <c r="B217" s="28"/>
      <c r="C217" s="28"/>
      <c r="D217" s="28"/>
      <c r="E217" s="28"/>
      <c r="F217" s="274"/>
      <c r="G217" s="28"/>
      <c r="H217" s="28"/>
      <c r="I217" s="28"/>
      <c r="J217" s="28"/>
      <c r="K217" s="28"/>
      <c r="L217" s="28"/>
      <c r="M217" s="28"/>
      <c r="N217" s="28"/>
    </row>
    <row r="218" spans="2:14" ht="16.5" thickTop="1" thickBot="1">
      <c r="B218" s="28"/>
      <c r="C218" s="28"/>
      <c r="D218" s="74" t="s">
        <v>24</v>
      </c>
      <c r="E218" s="28"/>
      <c r="F218" s="12">
        <v>1</v>
      </c>
      <c r="G218" s="28"/>
      <c r="H218" s="28"/>
      <c r="I218" s="28"/>
      <c r="J218" s="28"/>
      <c r="K218" s="28"/>
      <c r="L218" s="28"/>
      <c r="M218" s="28"/>
      <c r="N218" s="28"/>
    </row>
    <row r="219" spans="2:14" ht="16.5" thickTop="1" thickBot="1">
      <c r="B219" s="28"/>
      <c r="C219" s="28"/>
      <c r="D219" s="74" t="s">
        <v>51</v>
      </c>
      <c r="E219" s="28"/>
      <c r="F219" s="12">
        <v>1</v>
      </c>
      <c r="G219" s="28"/>
      <c r="H219" s="28"/>
      <c r="I219" s="28"/>
      <c r="J219" s="28"/>
      <c r="K219" s="28"/>
      <c r="L219" s="28"/>
      <c r="M219" s="28"/>
      <c r="N219" s="28"/>
    </row>
    <row r="220" spans="2:14" ht="16.5" thickTop="1" thickBot="1">
      <c r="B220" s="28"/>
      <c r="C220" s="28"/>
      <c r="D220" s="74" t="s">
        <v>52</v>
      </c>
      <c r="E220" s="28"/>
      <c r="F220" s="12">
        <v>1</v>
      </c>
      <c r="G220" s="28"/>
      <c r="H220" s="28"/>
      <c r="I220" s="28"/>
      <c r="J220" s="28"/>
      <c r="K220" s="28"/>
      <c r="L220" s="28"/>
      <c r="M220" s="28"/>
      <c r="N220" s="28"/>
    </row>
    <row r="221" spans="2:14" ht="16.5" thickTop="1" thickBot="1">
      <c r="B221" s="28"/>
      <c r="C221" s="28"/>
      <c r="D221" s="74" t="s">
        <v>50</v>
      </c>
      <c r="E221" s="28"/>
      <c r="F221" s="12">
        <v>1</v>
      </c>
      <c r="G221" s="28"/>
      <c r="H221" s="28"/>
      <c r="I221" s="28"/>
      <c r="J221" s="28"/>
      <c r="K221" s="28"/>
      <c r="L221" s="28"/>
      <c r="M221" s="28"/>
      <c r="N221" s="28"/>
    </row>
    <row r="222" spans="2:14" ht="16.5" thickTop="1" thickBot="1">
      <c r="B222" s="28"/>
      <c r="C222" s="28"/>
      <c r="D222" s="74" t="s">
        <v>53</v>
      </c>
      <c r="E222" s="28"/>
      <c r="F222" s="12">
        <v>1</v>
      </c>
      <c r="G222" s="28"/>
      <c r="H222" s="28"/>
      <c r="I222" s="28"/>
      <c r="J222" s="28"/>
      <c r="K222" s="28"/>
      <c r="L222" s="28"/>
      <c r="M222" s="28"/>
      <c r="N222" s="28"/>
    </row>
    <row r="223" spans="2:14" ht="16.5" thickTop="1" thickBot="1">
      <c r="B223" s="28"/>
      <c r="C223" s="28"/>
      <c r="D223" s="75" t="s">
        <v>54</v>
      </c>
      <c r="E223" s="28"/>
      <c r="F223" s="12">
        <v>1</v>
      </c>
      <c r="G223" s="28"/>
      <c r="H223" s="28"/>
      <c r="I223" s="28"/>
      <c r="J223" s="28"/>
      <c r="K223" s="28"/>
      <c r="L223" s="28"/>
      <c r="M223" s="28"/>
      <c r="N223" s="28"/>
    </row>
    <row r="224" spans="2:14" ht="16.5" thickTop="1" thickBot="1">
      <c r="B224" s="28"/>
      <c r="C224" s="28"/>
      <c r="D224" s="75" t="s">
        <v>93</v>
      </c>
      <c r="E224" s="28"/>
      <c r="F224" s="12">
        <v>1</v>
      </c>
      <c r="G224" s="28"/>
      <c r="H224" s="28"/>
      <c r="I224" s="28"/>
      <c r="J224" s="28"/>
      <c r="K224" s="28"/>
      <c r="L224" s="28"/>
      <c r="M224" s="28"/>
      <c r="N224" s="28"/>
    </row>
    <row r="225" spans="2:14" ht="15.75" thickTop="1">
      <c r="B225" s="28"/>
      <c r="C225" s="28"/>
      <c r="D225" s="28"/>
      <c r="E225" s="28"/>
      <c r="F225" s="28"/>
      <c r="G225" s="28"/>
      <c r="H225" s="28"/>
      <c r="I225" s="28"/>
      <c r="J225" s="28"/>
      <c r="K225" s="28"/>
      <c r="L225" s="28"/>
      <c r="M225" s="28"/>
      <c r="N225" s="28"/>
    </row>
    <row r="226" spans="2:14">
      <c r="B226" s="28"/>
      <c r="C226" s="28"/>
      <c r="D226" s="28"/>
      <c r="E226" s="28"/>
      <c r="F226" s="28"/>
      <c r="G226" s="28"/>
      <c r="H226" s="28"/>
      <c r="I226" s="28"/>
      <c r="J226" s="28"/>
      <c r="K226" s="28"/>
      <c r="L226" s="28"/>
      <c r="M226" s="28"/>
      <c r="N226" s="28"/>
    </row>
    <row r="227" spans="2:14">
      <c r="B227" s="28"/>
      <c r="C227" s="28"/>
      <c r="D227" s="28"/>
      <c r="E227" s="28"/>
      <c r="F227" s="248" t="s">
        <v>22</v>
      </c>
      <c r="G227" s="28"/>
      <c r="H227" s="28"/>
      <c r="I227" s="28"/>
      <c r="J227" s="28"/>
      <c r="K227" s="28"/>
      <c r="L227" s="28"/>
      <c r="M227" s="28"/>
      <c r="N227" s="28"/>
    </row>
    <row r="228" spans="2:14" ht="15.75" thickBot="1">
      <c r="B228" s="28"/>
      <c r="C228" s="28"/>
      <c r="D228" s="28"/>
      <c r="E228" s="28"/>
      <c r="F228" s="274"/>
      <c r="G228" s="28"/>
      <c r="H228" s="28"/>
      <c r="I228" s="28"/>
      <c r="J228" s="28"/>
      <c r="K228" s="28"/>
      <c r="L228" s="28"/>
      <c r="M228" s="28"/>
      <c r="N228" s="28"/>
    </row>
    <row r="229" spans="2:14" ht="16.5" thickTop="1" thickBot="1">
      <c r="B229" s="28"/>
      <c r="C229" s="28"/>
      <c r="D229" s="74" t="s">
        <v>24</v>
      </c>
      <c r="E229" s="28"/>
      <c r="F229" s="12">
        <v>1</v>
      </c>
      <c r="G229" s="28"/>
      <c r="H229" s="28"/>
      <c r="I229" s="28"/>
      <c r="J229" s="28"/>
      <c r="K229" s="28"/>
      <c r="L229" s="28"/>
      <c r="M229" s="28"/>
      <c r="N229" s="28"/>
    </row>
    <row r="230" spans="2:14" ht="16.5" thickTop="1" thickBot="1">
      <c r="B230" s="28"/>
      <c r="C230" s="28"/>
      <c r="D230" s="74" t="s">
        <v>51</v>
      </c>
      <c r="E230" s="28"/>
      <c r="F230" s="12">
        <v>1</v>
      </c>
      <c r="G230" s="28"/>
      <c r="H230" s="28"/>
      <c r="I230" s="28"/>
      <c r="J230" s="28"/>
      <c r="K230" s="28"/>
      <c r="L230" s="28"/>
      <c r="M230" s="28"/>
      <c r="N230" s="28"/>
    </row>
    <row r="231" spans="2:14" ht="16.5" thickTop="1" thickBot="1">
      <c r="B231" s="28"/>
      <c r="C231" s="28"/>
      <c r="D231" s="74" t="s">
        <v>52</v>
      </c>
      <c r="E231" s="28"/>
      <c r="F231" s="12">
        <v>1</v>
      </c>
      <c r="G231" s="28"/>
      <c r="H231" s="28"/>
      <c r="I231" s="28"/>
      <c r="J231" s="28"/>
      <c r="K231" s="28"/>
      <c r="L231" s="28"/>
      <c r="M231" s="28"/>
      <c r="N231" s="28"/>
    </row>
    <row r="232" spans="2:14" ht="16.5" thickTop="1" thickBot="1">
      <c r="B232" s="28"/>
      <c r="C232" s="28"/>
      <c r="D232" s="74" t="s">
        <v>50</v>
      </c>
      <c r="E232" s="28"/>
      <c r="F232" s="12">
        <v>1</v>
      </c>
      <c r="G232" s="28"/>
      <c r="H232" s="28"/>
      <c r="I232" s="28"/>
      <c r="J232" s="28"/>
      <c r="K232" s="28"/>
      <c r="L232" s="28"/>
      <c r="M232" s="28"/>
      <c r="N232" s="28"/>
    </row>
    <row r="233" spans="2:14" ht="16.5" thickTop="1" thickBot="1">
      <c r="B233" s="28"/>
      <c r="C233" s="28"/>
      <c r="D233" s="74" t="s">
        <v>53</v>
      </c>
      <c r="E233" s="28"/>
      <c r="F233" s="12">
        <v>1</v>
      </c>
      <c r="G233" s="28"/>
      <c r="H233" s="28"/>
      <c r="I233" s="28"/>
      <c r="J233" s="28"/>
      <c r="K233" s="28"/>
      <c r="L233" s="28"/>
      <c r="M233" s="28"/>
      <c r="N233" s="28"/>
    </row>
    <row r="234" spans="2:14" ht="16.5" thickTop="1" thickBot="1">
      <c r="B234" s="28"/>
      <c r="C234" s="28"/>
      <c r="D234" s="75" t="s">
        <v>54</v>
      </c>
      <c r="E234" s="28"/>
      <c r="F234" s="12">
        <v>1</v>
      </c>
      <c r="G234" s="28"/>
      <c r="H234" s="28"/>
      <c r="I234" s="28"/>
      <c r="J234" s="28"/>
      <c r="K234" s="28"/>
      <c r="L234" s="28"/>
      <c r="M234" s="28"/>
      <c r="N234" s="28"/>
    </row>
    <row r="235" spans="2:14" ht="16.5" thickTop="1" thickBot="1">
      <c r="B235" s="28"/>
      <c r="C235" s="28"/>
      <c r="D235" s="75" t="s">
        <v>93</v>
      </c>
      <c r="E235" s="28"/>
      <c r="F235" s="12">
        <v>1</v>
      </c>
      <c r="G235" s="28"/>
      <c r="H235" s="28"/>
      <c r="I235" s="28"/>
      <c r="J235" s="28"/>
      <c r="K235" s="28"/>
      <c r="L235" s="28"/>
      <c r="M235" s="28"/>
      <c r="N235" s="28"/>
    </row>
    <row r="236" spans="2:14" ht="15.75" thickTop="1">
      <c r="B236" s="28"/>
      <c r="C236" s="28"/>
      <c r="D236" s="28"/>
      <c r="E236" s="28"/>
      <c r="F236" s="28"/>
      <c r="G236" s="28"/>
      <c r="H236" s="28"/>
      <c r="I236" s="28"/>
      <c r="J236" s="28"/>
      <c r="K236" s="28"/>
      <c r="L236" s="28"/>
      <c r="M236" s="28"/>
      <c r="N236" s="28"/>
    </row>
    <row r="237" spans="2:14">
      <c r="B237" s="28"/>
      <c r="C237" s="28"/>
      <c r="D237" s="28"/>
      <c r="E237" s="28"/>
      <c r="F237" s="28"/>
      <c r="G237" s="28"/>
      <c r="H237" s="28"/>
      <c r="I237" s="28"/>
      <c r="J237" s="28"/>
      <c r="K237" s="28"/>
      <c r="L237" s="28"/>
      <c r="M237" s="28"/>
      <c r="N237" s="28"/>
    </row>
    <row r="238" spans="2:14">
      <c r="B238" s="28"/>
      <c r="C238" s="28"/>
      <c r="D238" s="28"/>
      <c r="E238" s="28"/>
      <c r="F238" s="248" t="s">
        <v>23</v>
      </c>
      <c r="G238" s="28"/>
      <c r="H238" s="28"/>
      <c r="I238" s="28"/>
      <c r="J238" s="28"/>
      <c r="K238" s="28"/>
      <c r="L238" s="28"/>
      <c r="M238" s="28"/>
      <c r="N238" s="28"/>
    </row>
    <row r="239" spans="2:14" ht="15.75" thickBot="1">
      <c r="B239" s="28"/>
      <c r="C239" s="28"/>
      <c r="D239" s="28"/>
      <c r="E239" s="28"/>
      <c r="F239" s="274"/>
      <c r="G239" s="28"/>
      <c r="H239" s="28"/>
      <c r="I239" s="28"/>
      <c r="J239" s="28"/>
      <c r="K239" s="28"/>
      <c r="L239" s="28"/>
      <c r="M239" s="28"/>
      <c r="N239" s="28"/>
    </row>
    <row r="240" spans="2:14" ht="16.5" thickTop="1" thickBot="1">
      <c r="B240" s="28"/>
      <c r="C240" s="28"/>
      <c r="D240" s="74" t="s">
        <v>24</v>
      </c>
      <c r="E240" s="28"/>
      <c r="F240" s="12">
        <v>1</v>
      </c>
      <c r="G240" s="28"/>
      <c r="H240" s="28"/>
      <c r="I240" s="28"/>
      <c r="J240" s="28"/>
      <c r="K240" s="28"/>
      <c r="L240" s="28"/>
      <c r="M240" s="28"/>
      <c r="N240" s="28"/>
    </row>
    <row r="241" spans="2:14" ht="16.5" thickTop="1" thickBot="1">
      <c r="B241" s="28"/>
      <c r="C241" s="28"/>
      <c r="D241" s="74" t="s">
        <v>51</v>
      </c>
      <c r="E241" s="28"/>
      <c r="F241" s="12">
        <v>1</v>
      </c>
      <c r="G241" s="28"/>
      <c r="H241" s="28"/>
      <c r="I241" s="28"/>
      <c r="J241" s="28"/>
      <c r="K241" s="28"/>
      <c r="L241" s="28"/>
      <c r="M241" s="28"/>
      <c r="N241" s="28"/>
    </row>
    <row r="242" spans="2:14" ht="16.5" thickTop="1" thickBot="1">
      <c r="B242" s="28"/>
      <c r="C242" s="28"/>
      <c r="D242" s="74" t="s">
        <v>52</v>
      </c>
      <c r="E242" s="28"/>
      <c r="F242" s="12">
        <v>1</v>
      </c>
      <c r="G242" s="28"/>
      <c r="H242" s="28"/>
      <c r="I242" s="28"/>
      <c r="J242" s="28"/>
      <c r="K242" s="28"/>
      <c r="L242" s="28"/>
      <c r="M242" s="28"/>
      <c r="N242" s="28"/>
    </row>
    <row r="243" spans="2:14" ht="16.5" thickTop="1" thickBot="1">
      <c r="B243" s="28"/>
      <c r="C243" s="28"/>
      <c r="D243" s="74" t="s">
        <v>50</v>
      </c>
      <c r="E243" s="28"/>
      <c r="F243" s="12">
        <v>1</v>
      </c>
      <c r="G243" s="28"/>
      <c r="H243" s="28"/>
      <c r="I243" s="28"/>
      <c r="J243" s="28"/>
      <c r="K243" s="28"/>
      <c r="L243" s="28"/>
      <c r="M243" s="28"/>
      <c r="N243" s="28"/>
    </row>
    <row r="244" spans="2:14" ht="16.5" thickTop="1" thickBot="1">
      <c r="B244" s="28"/>
      <c r="C244" s="28"/>
      <c r="D244" s="74" t="s">
        <v>53</v>
      </c>
      <c r="E244" s="28"/>
      <c r="F244" s="12">
        <v>1</v>
      </c>
      <c r="G244" s="28"/>
      <c r="H244" s="28"/>
      <c r="I244" s="28"/>
      <c r="J244" s="28"/>
      <c r="K244" s="28"/>
      <c r="L244" s="28"/>
      <c r="M244" s="28"/>
      <c r="N244" s="28"/>
    </row>
    <row r="245" spans="2:14" ht="16.5" thickTop="1" thickBot="1">
      <c r="B245" s="28"/>
      <c r="C245" s="28"/>
      <c r="D245" s="75" t="s">
        <v>54</v>
      </c>
      <c r="E245" s="28"/>
      <c r="F245" s="12">
        <v>1</v>
      </c>
      <c r="G245" s="28"/>
      <c r="H245" s="28"/>
      <c r="I245" s="28"/>
      <c r="J245" s="28"/>
      <c r="K245" s="28"/>
      <c r="L245" s="28"/>
      <c r="M245" s="28"/>
      <c r="N245" s="28"/>
    </row>
    <row r="246" spans="2:14" ht="16.5" thickTop="1" thickBot="1">
      <c r="B246" s="28"/>
      <c r="C246" s="28"/>
      <c r="D246" s="75" t="s">
        <v>93</v>
      </c>
      <c r="E246" s="28"/>
      <c r="F246" s="12">
        <v>1</v>
      </c>
      <c r="G246" s="28"/>
      <c r="H246" s="28"/>
      <c r="I246" s="28"/>
      <c r="J246" s="28"/>
      <c r="K246" s="28"/>
      <c r="L246" s="28"/>
      <c r="M246" s="28"/>
      <c r="N246" s="28"/>
    </row>
    <row r="247" spans="2:14" ht="15.75" thickTop="1">
      <c r="B247" s="28"/>
      <c r="C247" s="28"/>
      <c r="D247" s="28"/>
      <c r="E247" s="28"/>
      <c r="F247" s="28"/>
      <c r="G247" s="28"/>
      <c r="H247" s="28"/>
      <c r="I247" s="28"/>
      <c r="J247" s="28"/>
      <c r="K247" s="28"/>
      <c r="L247" s="28"/>
      <c r="M247" s="28"/>
      <c r="N247" s="28"/>
    </row>
    <row r="248" spans="2:14">
      <c r="G248" s="28"/>
      <c r="H248" s="28"/>
      <c r="I248" s="28"/>
      <c r="J248" s="28"/>
      <c r="K248" s="28"/>
      <c r="L248" s="28"/>
      <c r="M248" s="28"/>
      <c r="N248" s="28"/>
    </row>
    <row r="249" spans="2:14">
      <c r="G249" s="28"/>
      <c r="H249" s="28"/>
      <c r="I249" s="28"/>
      <c r="J249" s="28"/>
      <c r="K249" s="28"/>
      <c r="L249" s="28"/>
      <c r="M249" s="28"/>
      <c r="N249" s="28"/>
    </row>
    <row r="250" spans="2:14">
      <c r="G250" s="28"/>
      <c r="H250" s="28"/>
      <c r="I250" s="28"/>
      <c r="J250" s="28"/>
      <c r="K250" s="28"/>
      <c r="L250" s="28"/>
      <c r="M250" s="28"/>
      <c r="N250" s="28"/>
    </row>
    <row r="251" spans="2:14">
      <c r="G251" s="28"/>
      <c r="H251" s="28"/>
      <c r="I251" s="28"/>
      <c r="J251" s="28"/>
      <c r="K251" s="28"/>
      <c r="L251" s="28"/>
      <c r="M251" s="28"/>
      <c r="N251" s="28"/>
    </row>
    <row r="252" spans="2:14">
      <c r="B252" s="28"/>
      <c r="C252" s="28"/>
      <c r="D252" s="28"/>
      <c r="E252" s="28"/>
      <c r="F252" s="28"/>
      <c r="G252" s="28"/>
      <c r="H252" s="28"/>
      <c r="I252" s="28"/>
      <c r="J252" s="28"/>
      <c r="K252" s="28"/>
      <c r="L252" s="28"/>
      <c r="M252" s="28"/>
      <c r="N252" s="28"/>
    </row>
    <row r="253" spans="2:14">
      <c r="B253" s="28"/>
      <c r="C253" s="28"/>
      <c r="D253" s="28"/>
      <c r="E253" s="28"/>
      <c r="F253" s="28"/>
      <c r="G253" s="28"/>
      <c r="H253" s="28"/>
      <c r="I253" s="28"/>
      <c r="J253" s="28"/>
      <c r="K253" s="28"/>
      <c r="L253" s="28"/>
      <c r="M253" s="28"/>
      <c r="N253" s="28"/>
    </row>
    <row r="254" spans="2:14">
      <c r="B254" s="28"/>
      <c r="C254" s="28"/>
      <c r="D254" s="28"/>
      <c r="E254" s="28"/>
      <c r="F254" s="28"/>
      <c r="G254" s="28"/>
      <c r="H254" s="28"/>
      <c r="I254" s="28"/>
      <c r="J254" s="28"/>
      <c r="K254" s="28"/>
      <c r="L254" s="28"/>
      <c r="M254" s="28"/>
      <c r="N254" s="28"/>
    </row>
    <row r="255" spans="2:14">
      <c r="B255" s="28"/>
      <c r="C255" s="28"/>
      <c r="D255" s="28"/>
      <c r="E255" s="28"/>
      <c r="F255" s="28"/>
      <c r="G255" s="28"/>
      <c r="H255" s="28"/>
      <c r="I255" s="28"/>
      <c r="J255" s="28"/>
      <c r="K255" s="28"/>
      <c r="L255" s="28"/>
      <c r="M255" s="28"/>
      <c r="N255" s="28"/>
    </row>
    <row r="256" spans="2:14">
      <c r="B256" s="28"/>
      <c r="C256" s="28"/>
      <c r="D256" s="28"/>
      <c r="E256" s="28"/>
      <c r="F256" s="28"/>
      <c r="G256" s="28"/>
      <c r="H256" s="28"/>
      <c r="I256" s="28"/>
      <c r="J256" s="28"/>
      <c r="K256" s="28"/>
      <c r="L256" s="28"/>
      <c r="M256" s="28"/>
      <c r="N256" s="28"/>
    </row>
    <row r="257" spans="2:14">
      <c r="B257" s="28"/>
      <c r="C257" s="28"/>
      <c r="D257" s="28"/>
      <c r="E257" s="28"/>
      <c r="F257" s="28"/>
      <c r="G257" s="28"/>
      <c r="H257" s="28"/>
      <c r="I257" s="28"/>
      <c r="J257" s="28"/>
      <c r="K257" s="28"/>
      <c r="L257" s="28"/>
      <c r="M257" s="28"/>
      <c r="N257" s="28"/>
    </row>
    <row r="258" spans="2:14">
      <c r="B258" s="28"/>
      <c r="C258" s="28"/>
      <c r="D258" s="28"/>
      <c r="E258" s="28"/>
      <c r="F258" s="28"/>
      <c r="G258" s="28"/>
      <c r="H258" s="28"/>
      <c r="I258" s="28"/>
      <c r="J258" s="28"/>
      <c r="K258" s="28"/>
      <c r="L258" s="28"/>
      <c r="M258" s="28"/>
      <c r="N258" s="28"/>
    </row>
    <row r="259" spans="2:14">
      <c r="B259" s="28"/>
      <c r="C259" s="28"/>
      <c r="D259" s="28"/>
      <c r="E259" s="28"/>
      <c r="F259" s="28"/>
      <c r="G259" s="28"/>
      <c r="H259" s="28"/>
      <c r="I259" s="28"/>
      <c r="J259" s="28"/>
      <c r="K259" s="28"/>
      <c r="L259" s="28"/>
      <c r="M259" s="28"/>
      <c r="N259" s="28"/>
    </row>
    <row r="260" spans="2:14">
      <c r="B260" s="28"/>
      <c r="C260" s="28"/>
      <c r="D260" s="28"/>
      <c r="E260" s="28"/>
      <c r="F260" s="28"/>
      <c r="G260" s="28"/>
      <c r="H260" s="28"/>
      <c r="I260" s="28"/>
      <c r="J260" s="28"/>
      <c r="K260" s="28"/>
      <c r="L260" s="28"/>
      <c r="M260" s="28"/>
      <c r="N260" s="28"/>
    </row>
    <row r="261" spans="2:14">
      <c r="B261" s="28"/>
      <c r="C261" s="28"/>
      <c r="D261" s="28"/>
      <c r="E261" s="28"/>
      <c r="F261" s="28"/>
      <c r="G261" s="28"/>
      <c r="H261" s="28"/>
      <c r="I261" s="28"/>
      <c r="J261" s="28"/>
      <c r="K261" s="28"/>
      <c r="L261" s="28"/>
      <c r="M261" s="28"/>
      <c r="N261" s="28"/>
    </row>
    <row r="262" spans="2:14">
      <c r="B262" s="28"/>
      <c r="C262" s="28"/>
      <c r="D262" s="28"/>
      <c r="E262" s="28"/>
      <c r="F262" s="28"/>
      <c r="G262" s="28"/>
      <c r="H262" s="28"/>
      <c r="I262" s="28"/>
      <c r="J262" s="28"/>
      <c r="K262" s="28"/>
      <c r="L262" s="28"/>
      <c r="M262" s="28"/>
      <c r="N262" s="28"/>
    </row>
    <row r="263" spans="2:14">
      <c r="B263" s="28"/>
      <c r="C263" s="28"/>
      <c r="D263" s="28"/>
      <c r="E263" s="28"/>
      <c r="F263" s="28"/>
      <c r="G263" s="28"/>
      <c r="H263" s="28"/>
      <c r="I263" s="28"/>
      <c r="J263" s="28"/>
      <c r="K263" s="28"/>
      <c r="L263" s="28"/>
      <c r="M263" s="28"/>
      <c r="N263" s="28"/>
    </row>
    <row r="264" spans="2:14">
      <c r="B264" s="28"/>
      <c r="C264" s="28"/>
      <c r="D264" s="28"/>
      <c r="E264" s="28"/>
      <c r="F264" s="28"/>
      <c r="G264" s="28"/>
      <c r="H264" s="28"/>
      <c r="I264" s="28"/>
      <c r="J264" s="28"/>
      <c r="K264" s="28"/>
      <c r="L264" s="28"/>
      <c r="M264" s="28"/>
      <c r="N264" s="28"/>
    </row>
    <row r="265" spans="2:14">
      <c r="B265" s="28"/>
      <c r="C265" s="28"/>
      <c r="D265" s="28"/>
      <c r="E265" s="28"/>
      <c r="F265" s="28"/>
      <c r="G265" s="28"/>
      <c r="H265" s="28"/>
      <c r="I265" s="28"/>
      <c r="J265" s="28"/>
      <c r="K265" s="28"/>
      <c r="L265" s="28"/>
      <c r="M265" s="28"/>
      <c r="N265" s="28"/>
    </row>
    <row r="266" spans="2:14">
      <c r="B266" s="28"/>
      <c r="C266" s="28"/>
      <c r="D266" s="28"/>
      <c r="E266" s="28"/>
      <c r="F266" s="28"/>
      <c r="G266" s="28"/>
      <c r="H266" s="28"/>
      <c r="I266" s="28"/>
      <c r="J266" s="28"/>
      <c r="K266" s="28"/>
      <c r="L266" s="28"/>
      <c r="M266" s="28"/>
      <c r="N266" s="28"/>
    </row>
    <row r="267" spans="2:14">
      <c r="B267" s="28"/>
      <c r="C267" s="28"/>
      <c r="D267" s="28"/>
      <c r="E267" s="28"/>
      <c r="F267" s="28"/>
      <c r="G267" s="28"/>
      <c r="H267" s="28"/>
      <c r="I267" s="28"/>
      <c r="J267" s="28"/>
      <c r="K267" s="28"/>
      <c r="L267" s="28"/>
      <c r="M267" s="28"/>
      <c r="N267" s="28"/>
    </row>
    <row r="268" spans="2:14">
      <c r="B268" s="28"/>
      <c r="C268" s="28"/>
      <c r="D268" s="28"/>
      <c r="E268" s="28"/>
      <c r="F268" s="28"/>
      <c r="G268" s="28"/>
      <c r="H268" s="28"/>
      <c r="I268" s="28"/>
      <c r="J268" s="28"/>
      <c r="K268" s="28"/>
      <c r="L268" s="28"/>
      <c r="M268" s="28"/>
      <c r="N268" s="28"/>
    </row>
    <row r="269" spans="2:14">
      <c r="B269" s="28"/>
      <c r="C269" s="28"/>
      <c r="D269" s="28"/>
      <c r="E269" s="28"/>
      <c r="F269" s="28"/>
      <c r="G269" s="28"/>
      <c r="H269" s="28"/>
      <c r="I269" s="28"/>
      <c r="J269" s="28"/>
      <c r="K269" s="28"/>
      <c r="L269" s="28"/>
      <c r="M269" s="28"/>
      <c r="N269" s="28"/>
    </row>
    <row r="270" spans="2:14">
      <c r="B270" s="28"/>
      <c r="C270" s="28"/>
      <c r="D270" s="28"/>
      <c r="E270" s="28"/>
      <c r="F270" s="28"/>
      <c r="G270" s="28"/>
      <c r="H270" s="28"/>
      <c r="I270" s="28"/>
      <c r="J270" s="28"/>
      <c r="K270" s="28"/>
      <c r="L270" s="28"/>
      <c r="M270" s="28"/>
      <c r="N270" s="28"/>
    </row>
    <row r="271" spans="2:14">
      <c r="B271" s="28"/>
      <c r="C271" s="28"/>
      <c r="D271" s="28"/>
      <c r="E271" s="28"/>
      <c r="F271" s="28"/>
      <c r="G271" s="28"/>
      <c r="H271" s="28"/>
      <c r="I271" s="28"/>
      <c r="J271" s="28"/>
      <c r="K271" s="28"/>
      <c r="L271" s="28"/>
      <c r="M271" s="28"/>
      <c r="N271" s="28"/>
    </row>
    <row r="272" spans="2:14">
      <c r="B272" s="28"/>
      <c r="C272" s="28"/>
      <c r="D272" s="28"/>
      <c r="E272" s="28"/>
      <c r="F272" s="28"/>
      <c r="G272" s="28"/>
      <c r="H272" s="28"/>
      <c r="I272" s="28"/>
      <c r="J272" s="28"/>
      <c r="K272" s="28"/>
      <c r="L272" s="28"/>
      <c r="M272" s="28"/>
      <c r="N272" s="28"/>
    </row>
    <row r="273" spans="2:14">
      <c r="B273" s="28"/>
      <c r="C273" s="28"/>
      <c r="D273" s="28"/>
      <c r="E273" s="28"/>
      <c r="F273" s="28"/>
      <c r="G273" s="28"/>
      <c r="H273" s="28"/>
      <c r="I273" s="28"/>
      <c r="J273" s="28"/>
      <c r="K273" s="28"/>
      <c r="L273" s="28"/>
      <c r="M273" s="28"/>
      <c r="N273" s="28"/>
    </row>
    <row r="274" spans="2:14">
      <c r="B274" s="28"/>
      <c r="C274" s="28"/>
      <c r="D274" s="28"/>
      <c r="E274" s="28"/>
      <c r="F274" s="28"/>
      <c r="G274" s="28"/>
      <c r="H274" s="28"/>
      <c r="I274" s="28"/>
      <c r="J274" s="28"/>
      <c r="K274" s="28"/>
      <c r="L274" s="28"/>
      <c r="M274" s="28"/>
      <c r="N274" s="28"/>
    </row>
    <row r="275" spans="2:14">
      <c r="B275" s="28"/>
      <c r="C275" s="28"/>
      <c r="D275" s="28"/>
      <c r="E275" s="28"/>
      <c r="F275" s="28"/>
      <c r="G275" s="28"/>
      <c r="H275" s="28"/>
      <c r="I275" s="28"/>
      <c r="J275" s="28"/>
      <c r="K275" s="28"/>
      <c r="L275" s="28"/>
      <c r="M275" s="28"/>
      <c r="N275" s="28"/>
    </row>
    <row r="276" spans="2:14">
      <c r="B276" s="28"/>
      <c r="C276" s="28"/>
      <c r="D276" s="28"/>
      <c r="E276" s="28"/>
      <c r="F276" s="28"/>
      <c r="G276" s="28"/>
      <c r="H276" s="28"/>
      <c r="I276" s="28"/>
      <c r="J276" s="28"/>
      <c r="K276" s="28"/>
      <c r="L276" s="28"/>
      <c r="M276" s="28"/>
      <c r="N276" s="28"/>
    </row>
    <row r="277" spans="2:14">
      <c r="B277" s="28"/>
      <c r="C277" s="28"/>
      <c r="D277" s="28"/>
      <c r="E277" s="28"/>
      <c r="F277" s="28"/>
      <c r="G277" s="28"/>
      <c r="H277" s="28"/>
      <c r="I277" s="28"/>
      <c r="J277" s="28"/>
      <c r="K277" s="28"/>
      <c r="L277" s="28"/>
      <c r="M277" s="28"/>
      <c r="N277" s="28"/>
    </row>
  </sheetData>
  <customSheetViews>
    <customSheetView guid="{2499ACAE-A2C7-4F7F-900A-65021AFAF04C}" scale="70" state="hidden" topLeftCell="A142">
      <selection activeCell="C178" sqref="C178"/>
      <pageMargins left="0.7" right="0.7" top="0.75" bottom="0.75" header="0.3" footer="0.3"/>
    </customSheetView>
    <customSheetView guid="{4556642F-611B-4273-921A-A5552A57B1F5}" scale="70" state="hidden" topLeftCell="A133">
      <selection activeCell="B159" sqref="B159"/>
      <pageMargins left="0.7" right="0.7" top="0.75" bottom="0.75" header="0.3" footer="0.3"/>
    </customSheetView>
    <customSheetView guid="{4F428F85-A986-464A-BD5B-D43EDDD1A16A}" scale="70" state="hidden" topLeftCell="A133">
      <selection activeCell="B159" sqref="B159"/>
      <pageMargins left="0.7" right="0.7" top="0.75" bottom="0.75" header="0.3" footer="0.3"/>
    </customSheetView>
  </customSheetViews>
  <mergeCells count="21">
    <mergeCell ref="F216:F217"/>
    <mergeCell ref="F227:F228"/>
    <mergeCell ref="F238:F239"/>
    <mergeCell ref="B164:F165"/>
    <mergeCell ref="F194:F195"/>
    <mergeCell ref="F205:F206"/>
    <mergeCell ref="B145:D145"/>
    <mergeCell ref="B1:H1"/>
    <mergeCell ref="B99:F99"/>
    <mergeCell ref="J90:J91"/>
    <mergeCell ref="K90:K91"/>
    <mergeCell ref="B98:F98"/>
    <mergeCell ref="B95:F95"/>
    <mergeCell ref="G90:G91"/>
    <mergeCell ref="H90:H91"/>
    <mergeCell ref="I90:I91"/>
    <mergeCell ref="B90:F92"/>
    <mergeCell ref="B93:F93"/>
    <mergeCell ref="B94:F94"/>
    <mergeCell ref="B96:F96"/>
    <mergeCell ref="B97:F97"/>
  </mergeCells>
  <dataValidations count="5">
    <dataValidation type="list" allowBlank="1" showInputMessage="1" showErrorMessage="1" sqref="F167">
      <formula1>LC</formula1>
    </dataValidation>
    <dataValidation type="list" allowBlank="1" showInputMessage="1" showErrorMessage="1" sqref="F170 F172 F174 F176 F178 F180 F182 F192">
      <formula1>sn</formula1>
    </dataValidation>
    <dataValidation type="list" allowBlank="1" showInputMessage="1" showErrorMessage="1" sqref="B164:F165">
      <formula1>mura</formula1>
    </dataValidation>
    <dataValidation type="list" allowBlank="1" showInputMessage="1" showErrorMessage="1" sqref="F186">
      <formula1>an</formula1>
    </dataValidation>
    <dataValidation type="list" allowBlank="1" showInputMessage="1" showErrorMessage="1" sqref="F184">
      <formula1>perc</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 id="{E3B72B7D-2093-4412-B0E7-1EAB098E89B4}">
            <xm:f>IF(DATI!$F$59="utente",FALSE,TRUE)</xm:f>
            <x14:dxf>
              <font>
                <color theme="0"/>
              </font>
              <fill>
                <patternFill patternType="solid">
                  <bgColor theme="0"/>
                </patternFill>
              </fill>
              <border>
                <left/>
                <right/>
                <top/>
                <bottom/>
                <vertical/>
                <horizontal/>
              </border>
            </x14:dxf>
          </x14:cfRule>
          <xm:sqref>B188:F189</xm:sqref>
        </x14:conditionalFormatting>
        <x14:conditionalFormatting xmlns:xm="http://schemas.microsoft.com/office/excel/2006/main">
          <x14:cfRule type="expression" priority="2" id="{5DC34BCA-D526-46D9-9879-9F66497FE21D}">
            <xm:f>IF(DATI!$F$59="utente",FALSE,TRUE)</xm:f>
            <x14:dxf>
              <border>
                <left style="thin">
                  <color auto="1"/>
                </left>
                <right style="thin">
                  <color auto="1"/>
                </right>
                <top style="thin">
                  <color auto="1"/>
                </top>
                <bottom style="thin">
                  <color auto="1"/>
                </bottom>
              </border>
            </x14:dxf>
          </x14:cfRule>
          <xm:sqref>F187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F96"/>
  <sheetViews>
    <sheetView showGridLines="0" showRowColHeaders="0" topLeftCell="A73" zoomScale="90" zoomScaleNormal="90" workbookViewId="0">
      <selection activeCell="G37" sqref="G37"/>
    </sheetView>
  </sheetViews>
  <sheetFormatPr defaultRowHeight="15"/>
  <cols>
    <col min="1" max="1" width="3.28515625" style="3" customWidth="1"/>
    <col min="2" max="3" width="15" customWidth="1"/>
    <col min="4" max="4" width="20.140625" customWidth="1"/>
    <col min="5" max="5" width="16.85546875" style="2" customWidth="1"/>
    <col min="6" max="6" width="20.7109375" style="2" customWidth="1"/>
  </cols>
  <sheetData>
    <row r="2" spans="2:6">
      <c r="B2" s="288" t="s">
        <v>81</v>
      </c>
      <c r="C2" s="288"/>
      <c r="D2" s="288"/>
      <c r="E2" s="288"/>
      <c r="F2" s="288"/>
    </row>
    <row r="3" spans="2:6">
      <c r="B3" s="11"/>
      <c r="C3" s="11"/>
      <c r="D3" s="11"/>
      <c r="E3" s="11"/>
      <c r="F3" s="11"/>
    </row>
    <row r="4" spans="2:6">
      <c r="B4" s="84" t="s">
        <v>13</v>
      </c>
      <c r="C4" s="85">
        <f>'FOGLIO DEPOSITO'!F136</f>
        <v>3.1</v>
      </c>
      <c r="D4" s="11"/>
      <c r="E4" s="84" t="s">
        <v>11</v>
      </c>
      <c r="F4" s="86">
        <f>-ABS('FOGLIO DEPOSITO'!F110)</f>
        <v>-250</v>
      </c>
    </row>
    <row r="5" spans="2:6">
      <c r="B5" s="84" t="s">
        <v>9</v>
      </c>
      <c r="C5" s="85">
        <f>'FOGLIO DEPOSITO'!F134</f>
        <v>3</v>
      </c>
      <c r="D5" s="11"/>
      <c r="E5" s="84" t="s">
        <v>15</v>
      </c>
      <c r="F5" s="86">
        <f>'FOGLIO DEPOSITO'!F111</f>
        <v>50</v>
      </c>
    </row>
    <row r="6" spans="2:6">
      <c r="B6" s="84" t="s">
        <v>10</v>
      </c>
      <c r="C6" s="87">
        <f>'FOGLIO DEPOSITO'!F135</f>
        <v>0.45</v>
      </c>
      <c r="D6" s="11"/>
      <c r="E6" s="84" t="s">
        <v>16</v>
      </c>
      <c r="F6" s="88">
        <f>'FOGLIO DEPOSITO'!F112</f>
        <v>121</v>
      </c>
    </row>
    <row r="7" spans="2:6" s="3" customFormat="1">
      <c r="B7" s="89"/>
      <c r="C7" s="90"/>
      <c r="D7" s="11"/>
      <c r="E7" s="84" t="s">
        <v>17</v>
      </c>
      <c r="F7" s="88">
        <f>'FOGLIO DEPOSITO'!F113</f>
        <v>25</v>
      </c>
    </row>
    <row r="8" spans="2:6">
      <c r="B8" s="11"/>
      <c r="C8" s="11"/>
      <c r="D8" s="11"/>
      <c r="E8" s="11"/>
      <c r="F8" s="11"/>
    </row>
    <row r="9" spans="2:6">
      <c r="B9" s="288" t="s">
        <v>82</v>
      </c>
      <c r="C9" s="288"/>
      <c r="D9" s="288"/>
      <c r="E9" s="288"/>
      <c r="F9" s="288"/>
    </row>
    <row r="10" spans="2:6">
      <c r="B10" s="11"/>
      <c r="C10" s="11"/>
      <c r="D10" s="11"/>
      <c r="E10" s="11"/>
      <c r="F10" s="11"/>
    </row>
    <row r="11" spans="2:6" s="3" customFormat="1">
      <c r="B11" s="11" t="s">
        <v>75</v>
      </c>
      <c r="C11" s="11"/>
      <c r="D11" s="11"/>
      <c r="E11" s="91" t="s">
        <v>72</v>
      </c>
      <c r="F11" s="92">
        <f>IF(('RESISTENZA MURATURA'!F4/(C5*C6))&lt;=0,('RESISTENZA MURATURA'!F4/(C5*C6)),0)</f>
        <v>-185.18518518518516</v>
      </c>
    </row>
    <row r="12" spans="2:6" s="3" customFormat="1">
      <c r="B12" s="11" t="s">
        <v>74</v>
      </c>
      <c r="C12" s="11"/>
      <c r="D12" s="11"/>
      <c r="E12" s="84" t="s">
        <v>73</v>
      </c>
      <c r="F12" s="86">
        <f>0.85*'Caratteristiche Materiale c617'!J22*0.8*'RESISTENZA MURATURA'!C6*F13</f>
        <v>250</v>
      </c>
    </row>
    <row r="13" spans="2:6" s="3" customFormat="1">
      <c r="B13" s="11" t="s">
        <v>76</v>
      </c>
      <c r="C13" s="11"/>
      <c r="D13" s="11"/>
      <c r="E13" s="84" t="s">
        <v>71</v>
      </c>
      <c r="F13" s="93">
        <f>ABS(F4)/(0.85*'Caratteristiche Materiale c617'!J22*0.8*'RESISTENZA MURATURA'!C6)</f>
        <v>0.65262791507135409</v>
      </c>
    </row>
    <row r="14" spans="2:6" s="3" customFormat="1">
      <c r="B14" s="11" t="s">
        <v>77</v>
      </c>
      <c r="C14" s="11"/>
      <c r="D14" s="11"/>
      <c r="E14" s="84" t="s">
        <v>2</v>
      </c>
      <c r="F14" s="94">
        <f>(C5/2-0.4*F13)*ABS(F4)</f>
        <v>309.73720849286457</v>
      </c>
    </row>
    <row r="15" spans="2:6" s="3" customFormat="1" ht="15.75">
      <c r="B15" s="11" t="s">
        <v>1</v>
      </c>
      <c r="C15" s="11"/>
      <c r="D15" s="11"/>
      <c r="E15" s="84" t="s">
        <v>1</v>
      </c>
      <c r="F15" s="95" t="str">
        <f>IF(F14&gt;=F6, "verificato", "NON VERIFICATO")</f>
        <v>verificato</v>
      </c>
    </row>
    <row r="16" spans="2:6" s="3" customFormat="1">
      <c r="B16" s="11"/>
      <c r="C16" s="11"/>
      <c r="D16" s="11"/>
      <c r="E16" s="11"/>
      <c r="F16" s="11"/>
    </row>
    <row r="17" spans="2:6">
      <c r="B17" s="11"/>
      <c r="C17" s="11"/>
      <c r="D17" s="11"/>
      <c r="E17" s="11"/>
      <c r="F17" s="11"/>
    </row>
    <row r="18" spans="2:6">
      <c r="B18" s="11"/>
      <c r="C18" s="11"/>
      <c r="D18" s="11"/>
      <c r="E18" s="11"/>
      <c r="F18" s="11"/>
    </row>
    <row r="19" spans="2:6">
      <c r="B19" s="11"/>
      <c r="C19" s="11"/>
      <c r="D19" s="11"/>
      <c r="E19" s="11"/>
      <c r="F19" s="11"/>
    </row>
    <row r="20" spans="2:6">
      <c r="B20" s="11"/>
      <c r="C20" s="11"/>
      <c r="D20" s="11"/>
      <c r="E20" s="11"/>
      <c r="F20" s="11"/>
    </row>
    <row r="21" spans="2:6">
      <c r="B21" s="11"/>
      <c r="C21" s="11"/>
      <c r="D21" s="11"/>
      <c r="E21" s="11"/>
      <c r="F21" s="11"/>
    </row>
    <row r="22" spans="2:6">
      <c r="B22" s="11"/>
      <c r="C22" s="11"/>
      <c r="D22" s="11"/>
      <c r="E22" s="11"/>
      <c r="F22" s="11"/>
    </row>
    <row r="23" spans="2:6">
      <c r="B23" s="11"/>
      <c r="C23" s="11"/>
      <c r="D23" s="11"/>
      <c r="E23" s="11"/>
      <c r="F23" s="11"/>
    </row>
    <row r="24" spans="2:6">
      <c r="B24" s="11"/>
      <c r="C24" s="11"/>
      <c r="D24" s="11"/>
      <c r="E24" s="11"/>
      <c r="F24" s="11"/>
    </row>
    <row r="25" spans="2:6">
      <c r="B25" s="11"/>
      <c r="C25" s="11"/>
      <c r="D25" s="11"/>
      <c r="E25" s="11"/>
      <c r="F25" s="11"/>
    </row>
    <row r="26" spans="2:6">
      <c r="B26" s="11"/>
      <c r="C26" s="11"/>
      <c r="D26" s="11"/>
      <c r="E26" s="11"/>
      <c r="F26" s="11"/>
    </row>
    <row r="27" spans="2:6">
      <c r="B27" s="11"/>
      <c r="C27" s="11"/>
      <c r="D27" s="11"/>
      <c r="E27" s="11"/>
      <c r="F27" s="11"/>
    </row>
    <row r="28" spans="2:6">
      <c r="B28" s="11"/>
      <c r="C28" s="11"/>
      <c r="D28" s="11"/>
      <c r="E28" s="11"/>
      <c r="F28" s="11"/>
    </row>
    <row r="29" spans="2:6">
      <c r="B29" s="11"/>
      <c r="C29" s="11"/>
      <c r="D29" s="11"/>
      <c r="E29" s="11"/>
      <c r="F29" s="11"/>
    </row>
    <row r="30" spans="2:6">
      <c r="B30" s="11"/>
      <c r="C30" s="11"/>
      <c r="D30" s="11"/>
      <c r="E30" s="11"/>
      <c r="F30" s="11"/>
    </row>
    <row r="31" spans="2:6">
      <c r="B31" s="11"/>
      <c r="C31" s="11"/>
      <c r="D31" s="11"/>
      <c r="E31" s="11"/>
      <c r="F31" s="11"/>
    </row>
    <row r="32" spans="2:6">
      <c r="B32" s="11"/>
      <c r="C32" s="11"/>
      <c r="D32" s="11"/>
      <c r="E32" s="11"/>
      <c r="F32" s="11"/>
    </row>
    <row r="33" spans="2:6">
      <c r="B33" s="11"/>
      <c r="C33" s="11"/>
      <c r="D33" s="11"/>
      <c r="E33" s="11"/>
      <c r="F33" s="11"/>
    </row>
    <row r="34" spans="2:6" s="3" customFormat="1">
      <c r="B34" s="11"/>
      <c r="C34" s="11"/>
      <c r="D34" s="11"/>
      <c r="E34" s="11"/>
      <c r="F34" s="11"/>
    </row>
    <row r="35" spans="2:6" s="3" customFormat="1">
      <c r="B35" s="11"/>
      <c r="C35" s="11"/>
      <c r="D35" s="11"/>
      <c r="E35" s="11"/>
      <c r="F35" s="11"/>
    </row>
    <row r="36" spans="2:6" s="3" customFormat="1">
      <c r="B36" s="11"/>
      <c r="C36" s="11"/>
      <c r="D36" s="11"/>
      <c r="E36" s="11"/>
      <c r="F36" s="11"/>
    </row>
    <row r="37" spans="2:6" s="3" customFormat="1">
      <c r="B37" s="11"/>
      <c r="C37" s="11"/>
      <c r="D37" s="11"/>
      <c r="E37" s="11"/>
      <c r="F37" s="11"/>
    </row>
    <row r="38" spans="2:6" s="3" customFormat="1">
      <c r="B38" s="11"/>
      <c r="C38" s="11"/>
      <c r="D38" s="11"/>
      <c r="E38" s="11"/>
      <c r="F38" s="11"/>
    </row>
    <row r="39" spans="2:6" s="3" customFormat="1">
      <c r="B39" s="11"/>
      <c r="C39" s="11"/>
      <c r="D39" s="11"/>
      <c r="E39" s="11"/>
      <c r="F39" s="11"/>
    </row>
    <row r="40" spans="2:6" s="3" customFormat="1">
      <c r="B40" s="11"/>
      <c r="C40" s="11"/>
      <c r="D40" s="11"/>
      <c r="E40" s="11"/>
      <c r="F40" s="11"/>
    </row>
    <row r="41" spans="2:6" s="3" customFormat="1">
      <c r="B41" s="11"/>
      <c r="C41" s="11"/>
      <c r="D41" s="11"/>
      <c r="E41" s="11"/>
      <c r="F41" s="11"/>
    </row>
    <row r="42" spans="2:6" s="3" customFormat="1">
      <c r="B42" s="11"/>
      <c r="C42" s="11"/>
      <c r="D42" s="11"/>
      <c r="E42" s="11"/>
      <c r="F42" s="11"/>
    </row>
    <row r="43" spans="2:6" s="3" customFormat="1">
      <c r="B43" s="11"/>
      <c r="C43" s="11"/>
      <c r="D43" s="11"/>
      <c r="E43" s="11"/>
      <c r="F43" s="11"/>
    </row>
    <row r="44" spans="2:6" s="3" customFormat="1">
      <c r="B44" s="294" t="s">
        <v>84</v>
      </c>
      <c r="C44" s="294"/>
      <c r="D44" s="294"/>
      <c r="E44" s="294"/>
      <c r="F44" s="294"/>
    </row>
    <row r="45" spans="2:6" s="3" customFormat="1">
      <c r="B45" s="11"/>
      <c r="C45" s="11"/>
      <c r="D45" s="11"/>
      <c r="E45" s="11"/>
      <c r="F45" s="11"/>
    </row>
    <row r="46" spans="2:6" s="3" customFormat="1">
      <c r="B46" s="11" t="s">
        <v>78</v>
      </c>
      <c r="C46" s="11"/>
      <c r="D46" s="11"/>
      <c r="E46" s="96" t="s">
        <v>12</v>
      </c>
      <c r="F46" s="97">
        <f>IF(C4/C5&lt;1,1,IF(C4/C5&gt;1.5,1.5,C4/C5))</f>
        <v>1.0333333333333334</v>
      </c>
    </row>
    <row r="47" spans="2:6" s="3" customFormat="1" ht="18.75">
      <c r="B47" s="11" t="s">
        <v>96</v>
      </c>
      <c r="C47" s="11"/>
      <c r="D47" s="11"/>
      <c r="E47" s="98" t="s">
        <v>61</v>
      </c>
      <c r="F47" s="92">
        <f>ABS(F5)/(C5*C6)</f>
        <v>37.037037037037038</v>
      </c>
    </row>
    <row r="48" spans="2:6" s="3" customFormat="1" ht="18.75">
      <c r="B48" s="11" t="s">
        <v>103</v>
      </c>
      <c r="C48" s="11"/>
      <c r="D48" s="11"/>
      <c r="E48" s="98" t="s">
        <v>79</v>
      </c>
      <c r="F48" s="92">
        <f>F47*1.5</f>
        <v>55.555555555555557</v>
      </c>
    </row>
    <row r="49" spans="2:6" s="3" customFormat="1" ht="18.75">
      <c r="B49" s="11" t="s">
        <v>104</v>
      </c>
      <c r="C49" s="11"/>
      <c r="D49" s="11"/>
      <c r="E49" s="98" t="s">
        <v>4</v>
      </c>
      <c r="F49" s="92">
        <f>1.5/F46*'Caratteristiche Materiale c617'!$J$23*(1+ABS(F11)/(1.5*'Caratteristiche Materiale c617'!$J$23))^0.5</f>
        <v>92.445774068366106</v>
      </c>
    </row>
    <row r="50" spans="2:6">
      <c r="B50" s="11" t="s">
        <v>80</v>
      </c>
      <c r="C50" s="11"/>
      <c r="D50" s="11"/>
      <c r="E50" s="96" t="s">
        <v>5</v>
      </c>
      <c r="F50" s="86">
        <f>F49*C5*C6</f>
        <v>124.80179499229423</v>
      </c>
    </row>
    <row r="51" spans="2:6" ht="15.75">
      <c r="B51" s="11" t="s">
        <v>1</v>
      </c>
      <c r="C51" s="11"/>
      <c r="D51" s="11"/>
      <c r="E51" s="84" t="s">
        <v>1</v>
      </c>
      <c r="F51" s="95" t="str">
        <f>IF(F50&gt;=F5, "verificato", "NON VERIFICATO")</f>
        <v>verificato</v>
      </c>
    </row>
    <row r="52" spans="2:6">
      <c r="B52" s="11"/>
      <c r="C52" s="11"/>
      <c r="D52" s="11"/>
      <c r="E52" s="11"/>
      <c r="F52" s="11"/>
    </row>
    <row r="53" spans="2:6">
      <c r="B53" s="11"/>
      <c r="C53" s="11"/>
      <c r="D53" s="11"/>
      <c r="E53" s="11"/>
      <c r="F53" s="11"/>
    </row>
    <row r="54" spans="2:6">
      <c r="B54" s="11"/>
      <c r="C54" s="11"/>
      <c r="D54" s="11"/>
      <c r="E54" s="11"/>
      <c r="F54" s="11"/>
    </row>
    <row r="55" spans="2:6">
      <c r="B55" s="11"/>
      <c r="C55" s="11"/>
      <c r="D55" s="11"/>
      <c r="E55" s="11"/>
      <c r="F55" s="11"/>
    </row>
    <row r="56" spans="2:6">
      <c r="B56" s="11"/>
      <c r="C56" s="11"/>
      <c r="D56" s="11"/>
      <c r="E56" s="11"/>
      <c r="F56" s="11"/>
    </row>
    <row r="57" spans="2:6">
      <c r="B57" s="11"/>
      <c r="C57" s="11"/>
      <c r="D57" s="11"/>
      <c r="E57" s="11"/>
      <c r="F57" s="11"/>
    </row>
    <row r="58" spans="2:6">
      <c r="B58" s="11"/>
      <c r="C58" s="11"/>
      <c r="D58" s="11"/>
      <c r="E58" s="11"/>
      <c r="F58" s="11"/>
    </row>
    <row r="59" spans="2:6">
      <c r="B59" s="294" t="s">
        <v>83</v>
      </c>
      <c r="C59" s="294"/>
      <c r="D59" s="294"/>
      <c r="E59" s="294"/>
      <c r="F59" s="294"/>
    </row>
    <row r="60" spans="2:6">
      <c r="B60" s="11"/>
      <c r="C60" s="11"/>
      <c r="D60" s="11"/>
      <c r="E60" s="11"/>
      <c r="F60" s="11"/>
    </row>
    <row r="61" spans="2:6" s="3" customFormat="1">
      <c r="B61" s="11" t="s">
        <v>75</v>
      </c>
      <c r="C61" s="11"/>
      <c r="D61" s="11"/>
      <c r="E61" s="91" t="s">
        <v>72</v>
      </c>
      <c r="F61" s="92">
        <f>F11</f>
        <v>-185.18518518518516</v>
      </c>
    </row>
    <row r="62" spans="2:6" s="3" customFormat="1">
      <c r="B62" s="11" t="s">
        <v>74</v>
      </c>
      <c r="C62" s="11"/>
      <c r="D62" s="11"/>
      <c r="E62" s="84" t="s">
        <v>71</v>
      </c>
      <c r="F62" s="93">
        <f>ABS(F4)/(0.85*'Caratteristiche Materiale c617'!J22*0.8*'RESISTENZA MURATURA'!C5)</f>
        <v>9.7894187260703119E-2</v>
      </c>
    </row>
    <row r="63" spans="2:6" s="3" customFormat="1">
      <c r="B63" s="11" t="s">
        <v>76</v>
      </c>
      <c r="C63" s="11"/>
      <c r="D63" s="11"/>
      <c r="E63" s="84" t="s">
        <v>73</v>
      </c>
      <c r="F63" s="86">
        <f>0.85*'Caratteristiche Materiale c617'!J22*0.8*F62*C5</f>
        <v>250.00000000000003</v>
      </c>
    </row>
    <row r="64" spans="2:6" s="3" customFormat="1">
      <c r="B64" s="11" t="s">
        <v>77</v>
      </c>
      <c r="C64" s="11"/>
      <c r="D64" s="11"/>
      <c r="E64" s="84" t="s">
        <v>2</v>
      </c>
      <c r="F64" s="94">
        <f>(C6/2-0.4*F62)*ABS(F4)</f>
        <v>46.460581273929684</v>
      </c>
    </row>
    <row r="65" spans="2:6" ht="15.75">
      <c r="B65" s="11" t="s">
        <v>1</v>
      </c>
      <c r="C65" s="11"/>
      <c r="D65" s="11"/>
      <c r="E65" s="84" t="s">
        <v>1</v>
      </c>
      <c r="F65" s="95" t="str">
        <f>IF(F64&gt;=F7, "verificato", "NON VERIFICATO")</f>
        <v>verificato</v>
      </c>
    </row>
    <row r="66" spans="2:6" s="3" customFormat="1">
      <c r="B66" s="11"/>
      <c r="C66" s="11"/>
      <c r="D66" s="11"/>
      <c r="E66" s="11"/>
      <c r="F66" s="11"/>
    </row>
    <row r="67" spans="2:6">
      <c r="B67" s="11"/>
      <c r="C67" s="11"/>
      <c r="D67" s="11"/>
      <c r="E67" s="11"/>
      <c r="F67" s="11"/>
    </row>
    <row r="68" spans="2:6">
      <c r="B68" s="11"/>
      <c r="C68" s="11"/>
      <c r="D68" s="11"/>
      <c r="E68" s="11"/>
      <c r="F68" s="11"/>
    </row>
    <row r="69" spans="2:6">
      <c r="B69" s="11"/>
      <c r="C69" s="11"/>
      <c r="D69" s="11"/>
      <c r="E69" s="11"/>
      <c r="F69" s="11"/>
    </row>
    <row r="70" spans="2:6">
      <c r="B70" s="11"/>
      <c r="C70" s="11"/>
      <c r="D70" s="11"/>
      <c r="E70" s="11"/>
      <c r="F70" s="11"/>
    </row>
    <row r="71" spans="2:6">
      <c r="B71" s="11"/>
      <c r="C71" s="11"/>
      <c r="D71" s="11"/>
      <c r="E71" s="11"/>
      <c r="F71" s="11"/>
    </row>
    <row r="72" spans="2:6">
      <c r="B72" s="11"/>
      <c r="C72" s="11"/>
      <c r="D72" s="11"/>
      <c r="E72" s="11"/>
      <c r="F72" s="11"/>
    </row>
    <row r="73" spans="2:6">
      <c r="B73" s="11"/>
      <c r="C73" s="11"/>
      <c r="D73" s="11"/>
      <c r="E73" s="11"/>
      <c r="F73" s="11"/>
    </row>
    <row r="74" spans="2:6">
      <c r="B74" s="11"/>
      <c r="C74" s="11"/>
      <c r="D74" s="11"/>
      <c r="E74" s="11"/>
      <c r="F74" s="11"/>
    </row>
    <row r="75" spans="2:6">
      <c r="B75" s="11"/>
      <c r="C75" s="11"/>
      <c r="D75" s="11"/>
      <c r="E75" s="11"/>
      <c r="F75" s="11"/>
    </row>
    <row r="76" spans="2:6">
      <c r="B76" s="11"/>
      <c r="C76" s="11"/>
      <c r="D76" s="11"/>
      <c r="E76" s="11"/>
      <c r="F76" s="11"/>
    </row>
    <row r="77" spans="2:6">
      <c r="B77" s="11"/>
      <c r="C77" s="11"/>
      <c r="D77" s="11"/>
      <c r="E77" s="11"/>
      <c r="F77" s="11"/>
    </row>
    <row r="78" spans="2:6">
      <c r="B78" s="11"/>
      <c r="C78" s="11"/>
      <c r="D78" s="11"/>
      <c r="E78" s="11"/>
      <c r="F78" s="11"/>
    </row>
    <row r="79" spans="2:6">
      <c r="B79" s="11"/>
      <c r="C79" s="11"/>
      <c r="D79" s="11"/>
      <c r="E79" s="11"/>
      <c r="F79" s="11"/>
    </row>
    <row r="80" spans="2:6">
      <c r="B80" s="11"/>
      <c r="C80" s="11"/>
      <c r="D80" s="11"/>
      <c r="E80" s="11"/>
      <c r="F80" s="11"/>
    </row>
    <row r="81" spans="2:6">
      <c r="B81" s="11"/>
      <c r="C81" s="11"/>
      <c r="D81" s="11"/>
      <c r="E81" s="11"/>
      <c r="F81" s="11"/>
    </row>
    <row r="82" spans="2:6">
      <c r="B82" s="11"/>
      <c r="C82" s="11"/>
      <c r="D82" s="11"/>
      <c r="E82" s="11"/>
      <c r="F82" s="11"/>
    </row>
    <row r="83" spans="2:6">
      <c r="B83" s="11"/>
      <c r="C83" s="11"/>
      <c r="D83" s="11"/>
      <c r="E83" s="11"/>
      <c r="F83" s="11"/>
    </row>
    <row r="84" spans="2:6">
      <c r="B84" s="11"/>
      <c r="C84" s="11"/>
      <c r="D84" s="11"/>
      <c r="E84" s="11"/>
      <c r="F84" s="11"/>
    </row>
    <row r="85" spans="2:6">
      <c r="B85" s="11"/>
      <c r="C85" s="11"/>
      <c r="D85" s="11"/>
      <c r="E85" s="11"/>
      <c r="F85" s="11"/>
    </row>
    <row r="86" spans="2:6">
      <c r="B86" s="11"/>
      <c r="C86" s="11"/>
      <c r="D86" s="11"/>
      <c r="E86" s="11"/>
      <c r="F86" s="11"/>
    </row>
    <row r="87" spans="2:6">
      <c r="B87" s="11"/>
      <c r="C87" s="11"/>
      <c r="D87" s="11"/>
      <c r="E87" s="11"/>
      <c r="F87" s="11"/>
    </row>
    <row r="88" spans="2:6">
      <c r="B88" s="11"/>
      <c r="C88" s="11"/>
      <c r="D88" s="11"/>
      <c r="E88" s="11"/>
      <c r="F88" s="11"/>
    </row>
    <row r="89" spans="2:6">
      <c r="B89" s="11"/>
      <c r="C89" s="11"/>
      <c r="D89" s="11"/>
      <c r="E89" s="11"/>
      <c r="F89" s="11"/>
    </row>
    <row r="90" spans="2:6">
      <c r="B90" s="11"/>
      <c r="C90" s="11"/>
      <c r="D90" s="11"/>
      <c r="E90" s="11"/>
      <c r="F90" s="11"/>
    </row>
    <row r="91" spans="2:6">
      <c r="B91" s="11"/>
      <c r="C91" s="11"/>
      <c r="D91" s="11"/>
      <c r="E91" s="11"/>
      <c r="F91" s="11"/>
    </row>
    <row r="92" spans="2:6">
      <c r="B92" s="294" t="s">
        <v>105</v>
      </c>
      <c r="C92" s="294"/>
      <c r="D92" s="294"/>
      <c r="E92" s="294"/>
      <c r="F92" s="294"/>
    </row>
    <row r="93" spans="2:6">
      <c r="B93" s="11"/>
      <c r="C93" s="11"/>
      <c r="D93" s="11"/>
      <c r="E93" s="11"/>
      <c r="F93" s="11"/>
    </row>
    <row r="94" spans="2:6">
      <c r="B94" s="11" t="s">
        <v>75</v>
      </c>
      <c r="C94" s="11"/>
      <c r="D94" s="11"/>
      <c r="E94" s="91" t="s">
        <v>72</v>
      </c>
      <c r="F94" s="92">
        <f>F61</f>
        <v>-185.18518518518516</v>
      </c>
    </row>
    <row r="95" spans="2:6" ht="18.75">
      <c r="B95" s="11" t="s">
        <v>97</v>
      </c>
      <c r="C95" s="11"/>
      <c r="D95" s="11"/>
      <c r="E95" s="91" t="s">
        <v>14</v>
      </c>
      <c r="F95" s="92">
        <f>'Caratteristiche Materiale c617'!J22</f>
        <v>1251.8518518518517</v>
      </c>
    </row>
    <row r="96" spans="2:6" s="3" customFormat="1" ht="15.75">
      <c r="B96" s="11" t="s">
        <v>1</v>
      </c>
      <c r="C96" s="11"/>
      <c r="D96" s="11"/>
      <c r="E96" s="84" t="s">
        <v>1</v>
      </c>
      <c r="F96" s="95" t="str">
        <f>IF(F95&gt;=ABS(F94), "verificato", "NON VERIFICATO")</f>
        <v>verificato</v>
      </c>
    </row>
  </sheetData>
  <customSheetViews>
    <customSheetView guid="{2499ACAE-A2C7-4F7F-900A-65021AFAF04C}" scale="90" showGridLines="0" showRowCol="0" fitToPage="1" state="hidden" topLeftCell="A73">
      <selection activeCell="G37" sqref="G37"/>
      <pageMargins left="0.98425196850393704" right="0.39370078740157483" top="0.74803149606299213" bottom="0.74803149606299213" header="0.31496062992125984" footer="0.31496062992125984"/>
      <pageSetup paperSize="9" scale="87" fitToHeight="0" orientation="portrait" r:id="rId1"/>
    </customSheetView>
    <customSheetView guid="{4556642F-611B-4273-921A-A5552A57B1F5}" scale="90" showGridLines="0" showRowCol="0" fitToPage="1" state="hidden">
      <selection activeCell="B2" sqref="B2:F2"/>
      <pageMargins left="0.98425196850393704" right="0.39370078740157483" top="0.74803149606299213" bottom="0.74803149606299213" header="0.31496062992125984" footer="0.31496062992125984"/>
      <pageSetup paperSize="9" scale="87" fitToHeight="0" orientation="portrait" r:id="rId2"/>
    </customSheetView>
    <customSheetView guid="{4F428F85-A986-464A-BD5B-D43EDDD1A16A}" scale="90" showGridLines="0" showRowCol="0" fitToPage="1" state="hidden">
      <selection activeCell="B2" sqref="B2:F2"/>
      <pageMargins left="0.98425196850393704" right="0.39370078740157483" top="0.74803149606299213" bottom="0.74803149606299213" header="0.31496062992125984" footer="0.31496062992125984"/>
      <pageSetup paperSize="9" scale="87" fitToHeight="0" orientation="portrait" r:id="rId3"/>
    </customSheetView>
  </customSheetViews>
  <mergeCells count="5">
    <mergeCell ref="B2:F2"/>
    <mergeCell ref="B44:F44"/>
    <mergeCell ref="B9:F9"/>
    <mergeCell ref="B59:F59"/>
    <mergeCell ref="B92:F92"/>
  </mergeCells>
  <conditionalFormatting sqref="F15">
    <cfRule type="cellIs" dxfId="13" priority="19" operator="equal">
      <formula>"verificato"</formula>
    </cfRule>
  </conditionalFormatting>
  <conditionalFormatting sqref="F11">
    <cfRule type="cellIs" dxfId="12" priority="17" operator="equal">
      <formula>0</formula>
    </cfRule>
  </conditionalFormatting>
  <conditionalFormatting sqref="F51">
    <cfRule type="cellIs" dxfId="11" priority="13" operator="equal">
      <formula>"verificato"</formula>
    </cfRule>
  </conditionalFormatting>
  <conditionalFormatting sqref="F65">
    <cfRule type="cellIs" dxfId="10" priority="7" operator="equal">
      <formula>"verificato"</formula>
    </cfRule>
  </conditionalFormatting>
  <conditionalFormatting sqref="F61">
    <cfRule type="cellIs" dxfId="9" priority="6" operator="equal">
      <formula>0</formula>
    </cfRule>
  </conditionalFormatting>
  <conditionalFormatting sqref="F47:F48">
    <cfRule type="cellIs" dxfId="8" priority="5" operator="equal">
      <formula>0</formula>
    </cfRule>
  </conditionalFormatting>
  <conditionalFormatting sqref="F49">
    <cfRule type="cellIs" dxfId="7" priority="4" operator="equal">
      <formula>0</formula>
    </cfRule>
  </conditionalFormatting>
  <conditionalFormatting sqref="F94">
    <cfRule type="cellIs" dxfId="6" priority="3" operator="equal">
      <formula>0</formula>
    </cfRule>
  </conditionalFormatting>
  <conditionalFormatting sqref="F95">
    <cfRule type="cellIs" dxfId="5" priority="2" operator="equal">
      <formula>0</formula>
    </cfRule>
  </conditionalFormatting>
  <conditionalFormatting sqref="F96">
    <cfRule type="cellIs" dxfId="4" priority="1" operator="equal">
      <formula>"verificato"</formula>
    </cfRule>
  </conditionalFormatting>
  <pageMargins left="0.98425196850393704" right="0.39370078740157483" top="0.74803149606299213" bottom="0.74803149606299213" header="0.31496062992125984" footer="0.31496062992125984"/>
  <pageSetup paperSize="9" scale="87" fitToHeight="0"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125"/>
  <sheetViews>
    <sheetView showGridLines="0" showRowColHeaders="0" workbookViewId="0">
      <selection activeCell="B1" sqref="B1:E1"/>
    </sheetView>
  </sheetViews>
  <sheetFormatPr defaultRowHeight="15"/>
  <cols>
    <col min="1" max="1" width="2.42578125" customWidth="1"/>
    <col min="2" max="2" width="51" customWidth="1"/>
    <col min="3" max="3" width="41.28515625" customWidth="1"/>
    <col min="4" max="4" width="8.85546875" customWidth="1"/>
    <col min="5" max="5" width="10.42578125" customWidth="1"/>
  </cols>
  <sheetData>
    <row r="1" spans="1:5" ht="18.75">
      <c r="A1" s="11"/>
      <c r="B1" s="300" t="s">
        <v>412</v>
      </c>
      <c r="C1" s="300"/>
      <c r="D1" s="300"/>
      <c r="E1" s="301"/>
    </row>
    <row r="2" spans="1:5" s="3" customFormat="1" ht="6.6" customHeight="1">
      <c r="A2" s="11"/>
      <c r="B2" s="156"/>
      <c r="C2" s="156"/>
      <c r="D2" s="156"/>
      <c r="E2" s="157"/>
    </row>
    <row r="3" spans="1:5" ht="14.45" customHeight="1">
      <c r="A3" s="11"/>
      <c r="B3" s="298" t="s">
        <v>438</v>
      </c>
      <c r="C3" s="298"/>
      <c r="D3" s="298"/>
      <c r="E3" s="298"/>
    </row>
    <row r="4" spans="1:5">
      <c r="A4" s="11"/>
      <c r="B4" s="298"/>
      <c r="C4" s="298"/>
      <c r="D4" s="298"/>
      <c r="E4" s="298"/>
    </row>
    <row r="5" spans="1:5">
      <c r="A5" s="11"/>
      <c r="B5" s="298"/>
      <c r="C5" s="298"/>
      <c r="D5" s="298"/>
      <c r="E5" s="298"/>
    </row>
    <row r="6" spans="1:5">
      <c r="A6" s="11"/>
      <c r="B6" s="298"/>
      <c r="C6" s="298"/>
      <c r="D6" s="298"/>
      <c r="E6" s="298"/>
    </row>
    <row r="7" spans="1:5">
      <c r="A7" s="11"/>
      <c r="B7" s="298"/>
      <c r="C7" s="298"/>
      <c r="D7" s="298"/>
      <c r="E7" s="298"/>
    </row>
    <row r="8" spans="1:5">
      <c r="A8" s="11"/>
      <c r="B8" s="298"/>
      <c r="C8" s="298"/>
      <c r="D8" s="298"/>
      <c r="E8" s="298"/>
    </row>
    <row r="9" spans="1:5">
      <c r="A9" s="11"/>
      <c r="B9" s="298"/>
      <c r="C9" s="298"/>
      <c r="D9" s="298"/>
      <c r="E9" s="298"/>
    </row>
    <row r="10" spans="1:5">
      <c r="A10" s="11"/>
      <c r="B10" s="298"/>
      <c r="C10" s="298"/>
      <c r="D10" s="298"/>
      <c r="E10" s="298"/>
    </row>
    <row r="11" spans="1:5">
      <c r="A11" s="11"/>
      <c r="B11" s="298"/>
      <c r="C11" s="298"/>
      <c r="D11" s="298"/>
      <c r="E11" s="298"/>
    </row>
    <row r="12" spans="1:5">
      <c r="A12" s="11"/>
      <c r="B12" s="158"/>
      <c r="C12" s="159"/>
      <c r="D12" s="159"/>
      <c r="E12" s="159"/>
    </row>
    <row r="13" spans="1:5">
      <c r="A13" s="11"/>
      <c r="B13" s="158"/>
      <c r="C13" s="159"/>
      <c r="D13" s="159"/>
      <c r="E13" s="159"/>
    </row>
    <row r="14" spans="1:5">
      <c r="A14" s="11"/>
      <c r="B14" s="158"/>
      <c r="C14" s="159"/>
      <c r="D14" s="159"/>
      <c r="E14" s="159"/>
    </row>
    <row r="15" spans="1:5">
      <c r="A15" s="11"/>
      <c r="B15" s="158"/>
      <c r="C15" s="159"/>
      <c r="D15" s="159"/>
      <c r="E15" s="159"/>
    </row>
    <row r="16" spans="1:5">
      <c r="A16" s="11"/>
      <c r="B16" s="158"/>
      <c r="C16" s="159"/>
      <c r="D16" s="159"/>
      <c r="E16" s="159"/>
    </row>
    <row r="17" spans="1:5">
      <c r="A17" s="11"/>
      <c r="B17" s="158"/>
      <c r="C17" s="159"/>
      <c r="D17" s="159"/>
      <c r="E17" s="159"/>
    </row>
    <row r="18" spans="1:5">
      <c r="A18" s="11"/>
      <c r="B18" s="158"/>
      <c r="C18" s="159"/>
      <c r="D18" s="159"/>
      <c r="E18" s="159"/>
    </row>
    <row r="19" spans="1:5" s="3" customFormat="1">
      <c r="A19" s="11"/>
      <c r="B19" s="158"/>
      <c r="C19" s="159"/>
      <c r="D19" s="159"/>
      <c r="E19" s="159"/>
    </row>
    <row r="20" spans="1:5" s="3" customFormat="1">
      <c r="A20" s="11"/>
      <c r="B20" s="158"/>
      <c r="C20" s="159"/>
      <c r="D20" s="159"/>
      <c r="E20" s="159"/>
    </row>
    <row r="21" spans="1:5" s="3" customFormat="1">
      <c r="A21" s="11"/>
      <c r="B21" s="158"/>
      <c r="C21" s="159"/>
      <c r="D21" s="159"/>
      <c r="E21" s="159"/>
    </row>
    <row r="22" spans="1:5">
      <c r="A22" s="11"/>
      <c r="B22" s="158"/>
      <c r="C22" s="159"/>
      <c r="D22" s="159"/>
      <c r="E22" s="159"/>
    </row>
    <row r="23" spans="1:5">
      <c r="A23" s="11"/>
      <c r="B23" s="158"/>
      <c r="C23" s="159"/>
      <c r="D23" s="159"/>
      <c r="E23" s="159"/>
    </row>
    <row r="24" spans="1:5">
      <c r="A24" s="11"/>
      <c r="B24" s="160"/>
      <c r="C24" s="160"/>
      <c r="D24" s="160"/>
      <c r="E24" s="160"/>
    </row>
    <row r="25" spans="1:5" ht="15.75">
      <c r="A25" s="11"/>
      <c r="B25" s="303" t="s">
        <v>421</v>
      </c>
      <c r="C25" s="303"/>
      <c r="D25" s="160"/>
      <c r="E25" s="160"/>
    </row>
    <row r="26" spans="1:5">
      <c r="A26" s="11"/>
      <c r="B26" s="161" t="s">
        <v>260</v>
      </c>
      <c r="C26" s="162" t="s">
        <v>261</v>
      </c>
      <c r="D26" s="163">
        <f>DATI!F6</f>
        <v>1800</v>
      </c>
      <c r="E26" s="164" t="s">
        <v>262</v>
      </c>
    </row>
    <row r="27" spans="1:5">
      <c r="A27" s="11"/>
      <c r="B27" s="161" t="s">
        <v>263</v>
      </c>
      <c r="C27" s="162" t="s">
        <v>264</v>
      </c>
      <c r="D27" s="163">
        <f>1.05*D26</f>
        <v>1890</v>
      </c>
      <c r="E27" s="164" t="s">
        <v>262</v>
      </c>
    </row>
    <row r="28" spans="1:5">
      <c r="A28" s="11"/>
      <c r="B28" s="161" t="s">
        <v>265</v>
      </c>
      <c r="C28" s="162" t="s">
        <v>266</v>
      </c>
      <c r="D28" s="165">
        <f>D27*(3^0.5)/2</f>
        <v>1636.788013152589</v>
      </c>
      <c r="E28" s="164" t="s">
        <v>262</v>
      </c>
    </row>
    <row r="29" spans="1:5">
      <c r="A29" s="11"/>
      <c r="B29" s="161" t="s">
        <v>267</v>
      </c>
      <c r="C29" s="162" t="s">
        <v>268</v>
      </c>
      <c r="D29" s="163">
        <f>DATI!F7</f>
        <v>700</v>
      </c>
      <c r="E29" s="164" t="s">
        <v>262</v>
      </c>
    </row>
    <row r="30" spans="1:5">
      <c r="A30" s="11"/>
      <c r="B30" s="161" t="s">
        <v>429</v>
      </c>
      <c r="C30" s="162" t="s">
        <v>269</v>
      </c>
      <c r="D30" s="163">
        <f>DATI!F8</f>
        <v>1000</v>
      </c>
      <c r="E30" s="164" t="s">
        <v>262</v>
      </c>
    </row>
    <row r="31" spans="1:5">
      <c r="A31" s="11"/>
      <c r="B31" s="161" t="s">
        <v>428</v>
      </c>
      <c r="C31" s="162" t="s">
        <v>270</v>
      </c>
      <c r="D31" s="165">
        <f>ABS(D27-2*D30/(3^0.5))</f>
        <v>735.29946162074839</v>
      </c>
      <c r="E31" s="164" t="s">
        <v>262</v>
      </c>
    </row>
    <row r="32" spans="1:5" ht="18.75">
      <c r="A32" s="11"/>
      <c r="B32" s="161" t="s">
        <v>271</v>
      </c>
      <c r="C32" s="162" t="s">
        <v>400</v>
      </c>
      <c r="D32" s="166">
        <f>DATI!F11</f>
        <v>2.94</v>
      </c>
      <c r="E32" s="167" t="s">
        <v>272</v>
      </c>
    </row>
    <row r="33" spans="1:5" ht="18.75">
      <c r="A33" s="11"/>
      <c r="B33" s="161" t="s">
        <v>273</v>
      </c>
      <c r="C33" s="162" t="s">
        <v>401</v>
      </c>
      <c r="D33" s="166">
        <f>DATI!F12</f>
        <v>0</v>
      </c>
      <c r="E33" s="167" t="s">
        <v>272</v>
      </c>
    </row>
    <row r="34" spans="1:5" ht="18.75">
      <c r="A34" s="11"/>
      <c r="B34" s="161" t="s">
        <v>274</v>
      </c>
      <c r="C34" s="162" t="s">
        <v>402</v>
      </c>
      <c r="D34" s="166">
        <f>VLOOKUP(DATI!B15,'FOGLIO DEPOSITO'!C117:E128,2,FALSE)</f>
        <v>2</v>
      </c>
      <c r="E34" s="167" t="s">
        <v>272</v>
      </c>
    </row>
    <row r="35" spans="1:5">
      <c r="A35" s="11"/>
      <c r="B35" s="161" t="s">
        <v>276</v>
      </c>
      <c r="C35" s="162" t="s">
        <v>372</v>
      </c>
      <c r="D35" s="163">
        <f>DATI!F9</f>
        <v>6000</v>
      </c>
      <c r="E35" s="164" t="s">
        <v>262</v>
      </c>
    </row>
    <row r="36" spans="1:5">
      <c r="A36" s="11"/>
      <c r="B36" s="160" t="s">
        <v>422</v>
      </c>
      <c r="C36" s="162" t="s">
        <v>373</v>
      </c>
      <c r="D36" s="163">
        <f>D35/2</f>
        <v>3000</v>
      </c>
      <c r="E36" s="164" t="s">
        <v>262</v>
      </c>
    </row>
    <row r="37" spans="1:5">
      <c r="A37" s="11"/>
      <c r="B37" s="168" t="s">
        <v>427</v>
      </c>
      <c r="C37" s="162" t="s">
        <v>426</v>
      </c>
      <c r="D37" s="166">
        <f>(1.3*D32+1.5*D33+1.5*D34)*(D36/1000)</f>
        <v>20.466000000000001</v>
      </c>
      <c r="E37" s="167" t="s">
        <v>277</v>
      </c>
    </row>
    <row r="38" spans="1:5" ht="18">
      <c r="A38" s="11"/>
      <c r="B38" s="161" t="s">
        <v>278</v>
      </c>
      <c r="C38" s="162" t="s">
        <v>279</v>
      </c>
      <c r="D38" s="166">
        <f>D37*D31/D27</f>
        <v>7.9622427415503898</v>
      </c>
      <c r="E38" s="167" t="s">
        <v>277</v>
      </c>
    </row>
    <row r="39" spans="1:5" ht="18">
      <c r="A39" s="11"/>
      <c r="B39" s="161" t="s">
        <v>280</v>
      </c>
      <c r="C39" s="162" t="s">
        <v>281</v>
      </c>
      <c r="D39" s="166">
        <f>D40*1.3*D28*D29/(1000^2)</f>
        <v>32.768496023314832</v>
      </c>
      <c r="E39" s="167" t="s">
        <v>277</v>
      </c>
    </row>
    <row r="40" spans="1:5" ht="17.25">
      <c r="A40" s="11"/>
      <c r="B40" s="160" t="s">
        <v>94</v>
      </c>
      <c r="C40" s="162" t="s">
        <v>282</v>
      </c>
      <c r="D40" s="163">
        <f>'Caratteristiche Materiale C7-19'!I19</f>
        <v>22</v>
      </c>
      <c r="E40" s="167" t="s">
        <v>283</v>
      </c>
    </row>
    <row r="41" spans="1:5" s="3" customFormat="1">
      <c r="A41" s="11"/>
      <c r="B41" s="160"/>
      <c r="C41" s="162"/>
      <c r="D41" s="163"/>
      <c r="E41" s="167"/>
    </row>
    <row r="42" spans="1:5" ht="15.75">
      <c r="A42" s="11"/>
      <c r="B42" s="303" t="s">
        <v>381</v>
      </c>
      <c r="C42" s="303"/>
      <c r="D42" s="164"/>
      <c r="E42" s="164"/>
    </row>
    <row r="43" spans="1:5" s="3" customFormat="1">
      <c r="A43" s="11"/>
      <c r="B43" s="161" t="s">
        <v>284</v>
      </c>
      <c r="C43" s="169" t="str">
        <f>DATI!F22</f>
        <v>IPE 140</v>
      </c>
      <c r="D43" s="170" t="str">
        <f>DATI!F23</f>
        <v>S275 JR</v>
      </c>
      <c r="E43" s="164"/>
    </row>
    <row r="44" spans="1:5" s="3" customFormat="1">
      <c r="A44" s="11"/>
      <c r="B44" s="160" t="s">
        <v>491</v>
      </c>
      <c r="C44" s="171" t="s">
        <v>492</v>
      </c>
      <c r="D44" s="165">
        <f>DATI!F24</f>
        <v>2</v>
      </c>
      <c r="E44" s="164"/>
    </row>
    <row r="45" spans="1:5">
      <c r="A45" s="11"/>
      <c r="B45" s="160" t="s">
        <v>285</v>
      </c>
      <c r="C45" s="171" t="s">
        <v>13</v>
      </c>
      <c r="D45" s="166">
        <f>VLOOKUP(DATI!$F$22,Foglio1!$B$6:$V$95,Foglio1!A6,FALSE)</f>
        <v>140</v>
      </c>
      <c r="E45" s="164" t="s">
        <v>262</v>
      </c>
    </row>
    <row r="46" spans="1:5">
      <c r="A46" s="11"/>
      <c r="B46" s="160" t="s">
        <v>286</v>
      </c>
      <c r="C46" s="171" t="s">
        <v>12</v>
      </c>
      <c r="D46" s="166">
        <f>VLOOKUP(DATI!$F$22,Foglio1!$B$6:$V$95,Foglio1!A7,FALSE)</f>
        <v>73</v>
      </c>
      <c r="E46" s="164" t="s">
        <v>262</v>
      </c>
    </row>
    <row r="47" spans="1:5">
      <c r="A47" s="11"/>
      <c r="B47" s="160" t="s">
        <v>287</v>
      </c>
      <c r="C47" s="171" t="s">
        <v>440</v>
      </c>
      <c r="D47" s="166">
        <f>VLOOKUP(DATI!$F$22,Foglio1!$B$6:$V$95,Foglio1!A8,FALSE)</f>
        <v>4.7</v>
      </c>
      <c r="E47" s="164" t="s">
        <v>262</v>
      </c>
    </row>
    <row r="48" spans="1:5">
      <c r="A48" s="11"/>
      <c r="B48" s="160" t="s">
        <v>288</v>
      </c>
      <c r="C48" s="171" t="s">
        <v>441</v>
      </c>
      <c r="D48" s="166">
        <f>VLOOKUP(DATI!$F$22,Foglio1!$B$6:$V$95,Foglio1!A9,FALSE)</f>
        <v>6.9</v>
      </c>
      <c r="E48" s="164" t="s">
        <v>262</v>
      </c>
    </row>
    <row r="49" spans="1:5">
      <c r="A49" s="11"/>
      <c r="B49" s="160" t="s">
        <v>289</v>
      </c>
      <c r="C49" s="171" t="s">
        <v>442</v>
      </c>
      <c r="D49" s="166">
        <f>VLOOKUP(DATI!$F$22,Foglio1!$B$6:$V$95,Foglio1!A10,FALSE)</f>
        <v>7</v>
      </c>
      <c r="E49" s="164" t="s">
        <v>262</v>
      </c>
    </row>
    <row r="50" spans="1:5">
      <c r="A50" s="11"/>
      <c r="B50" s="172" t="s">
        <v>290</v>
      </c>
      <c r="C50" s="171"/>
      <c r="D50" s="173"/>
      <c r="E50" s="164"/>
    </row>
    <row r="51" spans="1:5" ht="18">
      <c r="A51" s="11"/>
      <c r="B51" s="160" t="s">
        <v>291</v>
      </c>
      <c r="C51" s="171" t="s">
        <v>443</v>
      </c>
      <c r="D51" s="166">
        <f>D45-2*D48</f>
        <v>126.2</v>
      </c>
      <c r="E51" s="164" t="s">
        <v>262</v>
      </c>
    </row>
    <row r="52" spans="1:5" ht="17.25">
      <c r="A52" s="11"/>
      <c r="B52" s="160" t="s">
        <v>292</v>
      </c>
      <c r="C52" s="171" t="s">
        <v>266</v>
      </c>
      <c r="D52" s="174">
        <f>(2*D48*D46+(D45-2*D48)*D47+(4-3.141593)*D49^2)/100</f>
        <v>16.42601943</v>
      </c>
      <c r="E52" s="164" t="s">
        <v>293</v>
      </c>
    </row>
    <row r="53" spans="1:5" ht="18">
      <c r="A53" s="11"/>
      <c r="B53" s="161" t="s">
        <v>294</v>
      </c>
      <c r="C53" s="171" t="s">
        <v>444</v>
      </c>
      <c r="D53" s="166">
        <f>(D52*100-(2*D46*D48)+(D47+2*D49)*D48)/100</f>
        <v>7.6423194299999997</v>
      </c>
      <c r="E53" s="164" t="s">
        <v>293</v>
      </c>
    </row>
    <row r="54" spans="1:5" ht="18">
      <c r="A54" s="11"/>
      <c r="B54" s="161" t="s">
        <v>295</v>
      </c>
      <c r="C54" s="171" t="s">
        <v>445</v>
      </c>
      <c r="D54" s="166">
        <f>2*D46*D48/100</f>
        <v>10.074000000000002</v>
      </c>
      <c r="E54" s="164" t="s">
        <v>293</v>
      </c>
    </row>
    <row r="55" spans="1:5" ht="18">
      <c r="A55" s="11"/>
      <c r="B55" s="160" t="s">
        <v>296</v>
      </c>
      <c r="C55" s="171" t="s">
        <v>446</v>
      </c>
      <c r="D55" s="165">
        <f>(1/12*(D46*D45^3-(D46-D47)*(D45-2*D48)^3)+0.03*D49^4+0.2146*D49^2*(D45-2*D48-0.4468*D49)^2)/(10^4)</f>
        <v>541.22374783326961</v>
      </c>
      <c r="E55" s="164" t="s">
        <v>297</v>
      </c>
    </row>
    <row r="56" spans="1:5" ht="18">
      <c r="A56" s="11"/>
      <c r="B56" s="160" t="s">
        <v>298</v>
      </c>
      <c r="C56" s="171" t="s">
        <v>447</v>
      </c>
      <c r="D56" s="165">
        <f>(1/10^4)*(1/12*(2*D48*D46^3+(D45-2*D48)*D47^3)+0.03*D49^4+0.2146*D49^2*(D47+0.4468*D49)^2)</f>
        <v>44.917774434016849</v>
      </c>
      <c r="E56" s="164" t="s">
        <v>297</v>
      </c>
    </row>
    <row r="57" spans="1:5" ht="18">
      <c r="A57" s="11"/>
      <c r="B57" s="160" t="s">
        <v>299</v>
      </c>
      <c r="C57" s="171" t="s">
        <v>448</v>
      </c>
      <c r="D57" s="174">
        <f>2*D55/(D45/10)</f>
        <v>77.317678261895665</v>
      </c>
      <c r="E57" s="164" t="s">
        <v>300</v>
      </c>
    </row>
    <row r="58" spans="1:5" ht="18">
      <c r="A58" s="11"/>
      <c r="B58" s="160" t="s">
        <v>301</v>
      </c>
      <c r="C58" s="171" t="s">
        <v>449</v>
      </c>
      <c r="D58" s="174">
        <f>2*D56/(D46/10)</f>
        <v>12.30623957096352</v>
      </c>
      <c r="E58" s="164" t="s">
        <v>300</v>
      </c>
    </row>
    <row r="59" spans="1:5" ht="18">
      <c r="A59" s="11"/>
      <c r="B59" s="160" t="s">
        <v>302</v>
      </c>
      <c r="C59" s="171" t="s">
        <v>450</v>
      </c>
      <c r="D59" s="174">
        <f>(D47*D45^2/4+(D46-D47)*(D45-D48)*D48+(4-3.141593)/2*D49^2*(D45-2*D48)+(3*3.141593-10)/3*D49^3)/1000</f>
        <v>88.344378668966655</v>
      </c>
      <c r="E59" s="164" t="s">
        <v>300</v>
      </c>
    </row>
    <row r="60" spans="1:5" ht="18">
      <c r="A60" s="11"/>
      <c r="B60" s="160" t="s">
        <v>303</v>
      </c>
      <c r="C60" s="171" t="s">
        <v>451</v>
      </c>
      <c r="D60" s="174">
        <f>(D46^2*D48/2+(D45-2*D48)/4*D47^2+D49^3*(10/3-3.141593)+(2-3.141593/2)*D47*D49^2)/1000</f>
        <v>19.246602000383334</v>
      </c>
      <c r="E60" s="164" t="s">
        <v>300</v>
      </c>
    </row>
    <row r="61" spans="1:5" ht="18">
      <c r="A61" s="11"/>
      <c r="B61" s="161" t="s">
        <v>423</v>
      </c>
      <c r="C61" s="175" t="s">
        <v>452</v>
      </c>
      <c r="D61" s="174">
        <f>D59/2</f>
        <v>44.172189334483328</v>
      </c>
      <c r="E61" s="164" t="s">
        <v>300</v>
      </c>
    </row>
    <row r="62" spans="1:5">
      <c r="A62" s="11"/>
      <c r="B62" s="161" t="s">
        <v>304</v>
      </c>
      <c r="C62" s="175" t="s">
        <v>453</v>
      </c>
      <c r="D62" s="166">
        <f>7850*D52/(100^2)/100</f>
        <v>0.12894425252550001</v>
      </c>
      <c r="E62" s="167" t="s">
        <v>277</v>
      </c>
    </row>
    <row r="63" spans="1:5">
      <c r="A63" s="11"/>
      <c r="B63" s="172" t="s">
        <v>305</v>
      </c>
      <c r="C63" s="176"/>
      <c r="D63" s="164"/>
      <c r="E63" s="164"/>
    </row>
    <row r="64" spans="1:5" ht="18">
      <c r="A64" s="11"/>
      <c r="B64" s="160" t="s">
        <v>306</v>
      </c>
      <c r="C64" s="171" t="s">
        <v>454</v>
      </c>
      <c r="D64" s="163">
        <f xml:space="preserve"> VLOOKUP(DATI!$F$23,Mat,2,FALSE)</f>
        <v>275</v>
      </c>
      <c r="E64" s="164" t="s">
        <v>307</v>
      </c>
    </row>
    <row r="65" spans="1:5">
      <c r="A65" s="11"/>
      <c r="B65" s="161" t="s">
        <v>308</v>
      </c>
      <c r="C65" s="171"/>
      <c r="D65" s="163" t="str">
        <f>DATI!F23</f>
        <v>S275 JR</v>
      </c>
      <c r="E65" s="164"/>
    </row>
    <row r="66" spans="1:5">
      <c r="A66" s="11"/>
      <c r="B66" s="161" t="s">
        <v>309</v>
      </c>
      <c r="C66" s="177" t="s">
        <v>455</v>
      </c>
      <c r="D66" s="166">
        <f>(235/D64)^0.5</f>
        <v>0.92441627773717538</v>
      </c>
      <c r="E66" s="164" t="s">
        <v>109</v>
      </c>
    </row>
    <row r="67" spans="1:5">
      <c r="A67" s="11"/>
      <c r="B67" s="172" t="s">
        <v>310</v>
      </c>
      <c r="C67" s="171"/>
      <c r="D67" s="164"/>
      <c r="E67" s="164"/>
    </row>
    <row r="68" spans="1:5">
      <c r="A68" s="11"/>
      <c r="B68" s="160" t="s">
        <v>424</v>
      </c>
      <c r="C68" s="171" t="s">
        <v>456</v>
      </c>
      <c r="D68" s="166">
        <f>D51-2*D49</f>
        <v>112.2</v>
      </c>
      <c r="E68" s="164" t="s">
        <v>262</v>
      </c>
    </row>
    <row r="69" spans="1:5">
      <c r="A69" s="11"/>
      <c r="B69" s="160" t="s">
        <v>287</v>
      </c>
      <c r="C69" s="171" t="s">
        <v>457</v>
      </c>
      <c r="D69" s="166">
        <f>D47</f>
        <v>4.7</v>
      </c>
      <c r="E69" s="164" t="s">
        <v>262</v>
      </c>
    </row>
    <row r="70" spans="1:5">
      <c r="A70" s="11"/>
      <c r="B70" s="160" t="s">
        <v>311</v>
      </c>
      <c r="C70" s="171" t="s">
        <v>458</v>
      </c>
      <c r="D70" s="166">
        <f>D68/D69</f>
        <v>23.872340425531913</v>
      </c>
      <c r="E70" s="164" t="s">
        <v>109</v>
      </c>
    </row>
    <row r="71" spans="1:5">
      <c r="A71" s="11"/>
      <c r="B71" s="178" t="s">
        <v>312</v>
      </c>
      <c r="C71" s="179"/>
      <c r="D71" s="302" t="str">
        <f>IF($D$70&lt;=72*$D$66,"CLASSE 1",IF(AND($D$70&gt;72*$D$66,$D$70&lt;=83*$D$66),"CLASSE 2",IF(AND($D$70&gt;83*$D$66,$D$70&lt;=124*$D$66),"CLASSE 3","CLASSE 4")))</f>
        <v>CLASSE 1</v>
      </c>
      <c r="E71" s="302"/>
    </row>
    <row r="72" spans="1:5">
      <c r="A72" s="11"/>
      <c r="B72" s="172" t="s">
        <v>313</v>
      </c>
      <c r="C72" s="171"/>
      <c r="D72" s="164"/>
      <c r="E72" s="164"/>
    </row>
    <row r="73" spans="1:5">
      <c r="A73" s="11"/>
      <c r="B73" s="160" t="s">
        <v>425</v>
      </c>
      <c r="C73" s="171" t="s">
        <v>456</v>
      </c>
      <c r="D73" s="163">
        <f>0.5*(D46-D47-2*D49)</f>
        <v>27.15</v>
      </c>
      <c r="E73" s="164" t="s">
        <v>262</v>
      </c>
    </row>
    <row r="74" spans="1:5">
      <c r="A74" s="11"/>
      <c r="B74" s="160" t="s">
        <v>288</v>
      </c>
      <c r="C74" s="171" t="s">
        <v>441</v>
      </c>
      <c r="D74" s="166">
        <f>D48</f>
        <v>6.9</v>
      </c>
      <c r="E74" s="164" t="s">
        <v>262</v>
      </c>
    </row>
    <row r="75" spans="1:5">
      <c r="A75" s="11"/>
      <c r="B75" s="160" t="s">
        <v>314</v>
      </c>
      <c r="C75" s="171" t="s">
        <v>459</v>
      </c>
      <c r="D75" s="166">
        <f>D73/D74</f>
        <v>3.9347826086956519</v>
      </c>
      <c r="E75" s="164" t="s">
        <v>109</v>
      </c>
    </row>
    <row r="76" spans="1:5">
      <c r="A76" s="11"/>
      <c r="B76" s="178" t="s">
        <v>315</v>
      </c>
      <c r="C76" s="11"/>
      <c r="D76" s="302" t="str">
        <f>IF($D$75&lt;=9*$D$66,"CLASSE 1",IF(AND($D$75&gt;9*$D$66,$D$75&lt;=10*$D$66),"CLASSE 2",IF(AND($D$75&gt;10*$D$66,$D$75&lt;=14*$D$66),"CLASSE 3","CLASSE 4")))</f>
        <v>CLASSE 1</v>
      </c>
      <c r="E76" s="302"/>
    </row>
    <row r="77" spans="1:5">
      <c r="A77" s="11"/>
      <c r="B77" s="159"/>
      <c r="C77" s="180"/>
      <c r="D77" s="180"/>
      <c r="E77" s="180"/>
    </row>
    <row r="78" spans="1:5" ht="15.75">
      <c r="A78" s="11"/>
      <c r="B78" s="303" t="s">
        <v>66</v>
      </c>
      <c r="C78" s="303"/>
      <c r="D78" s="180"/>
      <c r="E78" s="180"/>
    </row>
    <row r="79" spans="1:5">
      <c r="A79" s="11"/>
      <c r="B79" s="298" t="s">
        <v>439</v>
      </c>
      <c r="C79" s="298"/>
      <c r="D79" s="298"/>
      <c r="E79" s="298"/>
    </row>
    <row r="80" spans="1:5">
      <c r="A80" s="11"/>
      <c r="B80" s="298"/>
      <c r="C80" s="298"/>
      <c r="D80" s="298"/>
      <c r="E80" s="298"/>
    </row>
    <row r="81" spans="1:5">
      <c r="A81" s="11"/>
      <c r="B81" s="298"/>
      <c r="C81" s="298"/>
      <c r="D81" s="298"/>
      <c r="E81" s="298"/>
    </row>
    <row r="82" spans="1:5" ht="6.6" customHeight="1">
      <c r="A82" s="11"/>
      <c r="B82" s="159"/>
      <c r="C82" s="180"/>
      <c r="D82" s="180"/>
      <c r="E82" s="180"/>
    </row>
    <row r="83" spans="1:5" ht="18.75">
      <c r="A83" s="11"/>
      <c r="B83" s="159"/>
      <c r="C83" s="181" t="s">
        <v>316</v>
      </c>
      <c r="D83" s="182">
        <f>(1.3*D62+D38)*(D27/1000)^2/8+(D27/1000)^2*D39/12</f>
        <v>13.384450752599291</v>
      </c>
      <c r="E83" s="167" t="s">
        <v>386</v>
      </c>
    </row>
    <row r="84" spans="1:5" ht="9" customHeight="1">
      <c r="A84" s="11"/>
      <c r="B84" s="159"/>
      <c r="C84" s="181"/>
      <c r="D84" s="183"/>
      <c r="E84" s="167"/>
    </row>
    <row r="85" spans="1:5" ht="18.75">
      <c r="A85" s="11"/>
      <c r="B85" s="159"/>
      <c r="C85" s="181" t="s">
        <v>365</v>
      </c>
      <c r="D85" s="182">
        <f>(1.3*D62+D38)*D27/2000+D27*D39/4000</f>
        <v>23.165841776008953</v>
      </c>
      <c r="E85" s="167" t="s">
        <v>318</v>
      </c>
    </row>
    <row r="86" spans="1:5" s="3" customFormat="1" ht="15.75">
      <c r="A86" s="11"/>
      <c r="B86" s="303" t="s">
        <v>420</v>
      </c>
      <c r="C86" s="303"/>
      <c r="D86" s="184"/>
      <c r="E86" s="167"/>
    </row>
    <row r="87" spans="1:5">
      <c r="A87" s="11"/>
      <c r="B87" s="158" t="s">
        <v>319</v>
      </c>
      <c r="C87" s="185" t="s">
        <v>320</v>
      </c>
      <c r="D87" s="163">
        <f>DATI!F24</f>
        <v>2</v>
      </c>
      <c r="E87" s="180"/>
    </row>
    <row r="88" spans="1:5" ht="18">
      <c r="A88" s="11"/>
      <c r="B88" s="158" t="s">
        <v>430</v>
      </c>
      <c r="C88" s="185" t="s">
        <v>321</v>
      </c>
      <c r="D88" s="182">
        <f>D83/D87</f>
        <v>6.6922253762996453</v>
      </c>
      <c r="E88" s="167" t="s">
        <v>317</v>
      </c>
    </row>
    <row r="89" spans="1:5" ht="18">
      <c r="A89" s="11"/>
      <c r="B89" s="159" t="s">
        <v>431</v>
      </c>
      <c r="C89" s="185" t="s">
        <v>366</v>
      </c>
      <c r="D89" s="182">
        <f>D85/D87</f>
        <v>11.582920888004477</v>
      </c>
      <c r="E89" s="167" t="s">
        <v>318</v>
      </c>
    </row>
    <row r="90" spans="1:5">
      <c r="A90" s="11"/>
      <c r="B90" s="186" t="s">
        <v>322</v>
      </c>
      <c r="C90" s="11"/>
      <c r="D90" s="180"/>
      <c r="E90" s="180"/>
    </row>
    <row r="91" spans="1:5" ht="18">
      <c r="A91" s="11"/>
      <c r="B91" s="158" t="s">
        <v>432</v>
      </c>
      <c r="C91" s="187" t="s">
        <v>323</v>
      </c>
      <c r="D91" s="181"/>
      <c r="E91" s="180"/>
    </row>
    <row r="92" spans="1:5" ht="18">
      <c r="A92" s="11"/>
      <c r="B92" s="158" t="s">
        <v>433</v>
      </c>
      <c r="C92" s="187" t="s">
        <v>324</v>
      </c>
      <c r="D92" s="181"/>
      <c r="E92" s="180"/>
    </row>
    <row r="93" spans="1:5" ht="18">
      <c r="A93" s="11"/>
      <c r="B93" s="158" t="s">
        <v>387</v>
      </c>
      <c r="C93" s="181" t="s">
        <v>325</v>
      </c>
      <c r="D93" s="182">
        <f>IF(D76="CLASSE 1", 'FOGLIO DEPOSITO'!B139,IF(D76="CLASSE 2",'FOGLIO DEPOSITO'!B139,IF(D71="CLASSE 3",'FOGLIO DEPOSITO'!B140,'FOGLIO DEPOSITO'!B140/2)))</f>
        <v>23.137813460919837</v>
      </c>
      <c r="E93" s="167" t="s">
        <v>317</v>
      </c>
    </row>
    <row r="94" spans="1:5" ht="18">
      <c r="A94" s="11"/>
      <c r="B94" s="158" t="s">
        <v>388</v>
      </c>
      <c r="C94" s="181" t="s">
        <v>325</v>
      </c>
      <c r="D94" s="182">
        <f>D93*D87</f>
        <v>46.275626921839674</v>
      </c>
      <c r="E94" s="167" t="s">
        <v>317</v>
      </c>
    </row>
    <row r="95" spans="1:5" ht="18">
      <c r="A95" s="11"/>
      <c r="B95" s="11" t="s">
        <v>389</v>
      </c>
      <c r="C95" s="188" t="s">
        <v>390</v>
      </c>
      <c r="D95" s="189">
        <f>D88*D87/D94</f>
        <v>0.28923326690324169</v>
      </c>
      <c r="E95" s="190" t="s">
        <v>367</v>
      </c>
    </row>
    <row r="96" spans="1:5">
      <c r="A96" s="11"/>
      <c r="B96" s="186" t="s">
        <v>326</v>
      </c>
      <c r="C96" s="11"/>
      <c r="D96" s="180"/>
      <c r="E96" s="180"/>
    </row>
    <row r="97" spans="1:5" ht="18.75">
      <c r="A97" s="11"/>
      <c r="B97" s="158" t="s">
        <v>404</v>
      </c>
      <c r="C97" s="181" t="s">
        <v>327</v>
      </c>
      <c r="D97" s="182">
        <f>D53*100*D64/1.05/(3^0.5)/1000</f>
        <v>115.560111860904</v>
      </c>
      <c r="E97" s="167" t="s">
        <v>318</v>
      </c>
    </row>
    <row r="98" spans="1:5" s="3" customFormat="1" ht="18">
      <c r="A98" s="11"/>
      <c r="B98" s="158" t="s">
        <v>405</v>
      </c>
      <c r="C98" s="181" t="s">
        <v>406</v>
      </c>
      <c r="D98" s="182">
        <f>D97*D87</f>
        <v>231.120223721808</v>
      </c>
      <c r="E98" s="167" t="s">
        <v>318</v>
      </c>
    </row>
    <row r="99" spans="1:5" ht="18">
      <c r="A99" s="11"/>
      <c r="B99" s="11" t="s">
        <v>391</v>
      </c>
      <c r="C99" s="191" t="s">
        <v>368</v>
      </c>
      <c r="D99" s="189">
        <f>D89*D87/D98</f>
        <v>0.10023286323871396</v>
      </c>
      <c r="E99" s="190" t="s">
        <v>367</v>
      </c>
    </row>
    <row r="100" spans="1:5" s="3" customFormat="1">
      <c r="A100" s="11"/>
      <c r="B100" s="11"/>
      <c r="C100" s="191"/>
      <c r="D100" s="189"/>
      <c r="E100" s="190"/>
    </row>
    <row r="101" spans="1:5" ht="15.75">
      <c r="A101" s="11"/>
      <c r="B101" s="303" t="s">
        <v>419</v>
      </c>
      <c r="C101" s="303"/>
      <c r="D101" s="180"/>
      <c r="E101" s="180"/>
    </row>
    <row r="102" spans="1:5" ht="18">
      <c r="A102" s="11"/>
      <c r="B102" s="159" t="s">
        <v>407</v>
      </c>
      <c r="C102" s="181" t="s">
        <v>328</v>
      </c>
      <c r="D102" s="182">
        <f>D40*D28*D29/(1000^2)</f>
        <v>25.206535402549871</v>
      </c>
      <c r="E102" s="167" t="s">
        <v>277</v>
      </c>
    </row>
    <row r="103" spans="1:5" ht="18">
      <c r="A103" s="11"/>
      <c r="B103" s="159" t="s">
        <v>408</v>
      </c>
      <c r="C103" s="181" t="s">
        <v>329</v>
      </c>
      <c r="D103" s="192">
        <f>(D32+D33+D34)*D36/1000</f>
        <v>14.819999999999999</v>
      </c>
      <c r="E103" s="167" t="s">
        <v>277</v>
      </c>
    </row>
    <row r="104" spans="1:5" ht="18.75">
      <c r="A104" s="11"/>
      <c r="B104" s="159" t="s">
        <v>409</v>
      </c>
      <c r="C104" s="181" t="s">
        <v>330</v>
      </c>
      <c r="D104" s="193">
        <f>D27^4/(D87*D55*10000*D106)*(5*D103/384+D102/120)</f>
        <v>2.2623049280614214</v>
      </c>
      <c r="E104" s="167" t="s">
        <v>262</v>
      </c>
    </row>
    <row r="105" spans="1:5">
      <c r="A105" s="11"/>
      <c r="B105" s="159" t="s">
        <v>410</v>
      </c>
      <c r="C105" s="194" t="s">
        <v>378</v>
      </c>
      <c r="D105" s="195">
        <f>D27/500</f>
        <v>3.78</v>
      </c>
      <c r="E105" s="167" t="s">
        <v>262</v>
      </c>
    </row>
    <row r="106" spans="1:5" s="3" customFormat="1">
      <c r="A106" s="11"/>
      <c r="B106" s="159" t="s">
        <v>411</v>
      </c>
      <c r="C106" s="181" t="s">
        <v>331</v>
      </c>
      <c r="D106" s="195">
        <v>210000</v>
      </c>
      <c r="E106" s="164" t="s">
        <v>307</v>
      </c>
    </row>
    <row r="107" spans="1:5">
      <c r="A107" s="11"/>
      <c r="B107" s="11" t="s">
        <v>379</v>
      </c>
      <c r="C107" s="196" t="s">
        <v>377</v>
      </c>
      <c r="D107" s="155" t="str">
        <f>IF(D104&lt;=D105,"ver","N.V.!")</f>
        <v>ver</v>
      </c>
      <c r="E107" s="11"/>
    </row>
    <row r="108" spans="1:5" ht="8.25" customHeight="1">
      <c r="A108" s="11"/>
      <c r="B108" s="159"/>
      <c r="C108" s="181"/>
      <c r="D108" s="180"/>
      <c r="E108" s="164"/>
    </row>
    <row r="109" spans="1:5" ht="15.75">
      <c r="A109" s="11"/>
      <c r="B109" s="304" t="s">
        <v>418</v>
      </c>
      <c r="C109" s="304"/>
      <c r="D109" s="180"/>
      <c r="E109" s="180"/>
    </row>
    <row r="110" spans="1:5">
      <c r="A110" s="11"/>
      <c r="B110" s="298" t="s">
        <v>415</v>
      </c>
      <c r="C110" s="298"/>
      <c r="D110" s="298"/>
      <c r="E110" s="298"/>
    </row>
    <row r="111" spans="1:5" s="3" customFormat="1">
      <c r="A111" s="11"/>
      <c r="B111" s="298"/>
      <c r="C111" s="298"/>
      <c r="D111" s="298"/>
      <c r="E111" s="298"/>
    </row>
    <row r="112" spans="1:5">
      <c r="A112" s="11"/>
      <c r="B112" s="298"/>
      <c r="C112" s="298"/>
      <c r="D112" s="298"/>
      <c r="E112" s="298"/>
    </row>
    <row r="113" spans="1:5" s="3" customFormat="1" ht="6" customHeight="1">
      <c r="A113" s="11"/>
      <c r="B113" s="197"/>
      <c r="C113" s="197"/>
      <c r="D113" s="197"/>
      <c r="E113" s="197"/>
    </row>
    <row r="114" spans="1:5" s="3" customFormat="1" ht="18">
      <c r="A114" s="11"/>
      <c r="B114" s="198" t="s">
        <v>434</v>
      </c>
      <c r="C114" s="199" t="s">
        <v>333</v>
      </c>
      <c r="D114" s="195">
        <f>2.5</f>
        <v>2.5</v>
      </c>
      <c r="E114" s="164" t="s">
        <v>109</v>
      </c>
    </row>
    <row r="115" spans="1:5">
      <c r="A115" s="11"/>
      <c r="B115" s="159" t="s">
        <v>417</v>
      </c>
      <c r="C115" s="181" t="s">
        <v>383</v>
      </c>
      <c r="D115" s="163">
        <f>DATI!F18</f>
        <v>300</v>
      </c>
      <c r="E115" s="164" t="s">
        <v>262</v>
      </c>
    </row>
    <row r="116" spans="1:5" ht="17.25">
      <c r="A116" s="11"/>
      <c r="B116" s="158" t="s">
        <v>332</v>
      </c>
      <c r="C116" s="181" t="s">
        <v>334</v>
      </c>
      <c r="D116" s="192">
        <f>D115*D46</f>
        <v>21900</v>
      </c>
      <c r="E116" s="167" t="s">
        <v>335</v>
      </c>
    </row>
    <row r="117" spans="1:5" ht="18.75">
      <c r="A117" s="11"/>
      <c r="B117" s="158" t="s">
        <v>435</v>
      </c>
      <c r="C117" s="181" t="s">
        <v>336</v>
      </c>
      <c r="D117" s="182">
        <f>'Caratteristiche Materiale C7-19'!J24</f>
        <v>2.1481481481481479</v>
      </c>
      <c r="E117" s="167" t="s">
        <v>337</v>
      </c>
    </row>
    <row r="118" spans="1:5" ht="18">
      <c r="A118" s="11"/>
      <c r="B118" s="158" t="s">
        <v>436</v>
      </c>
      <c r="C118" s="181" t="s">
        <v>338</v>
      </c>
      <c r="D118" s="182">
        <f>D117*D116/1000</f>
        <v>47.044444444444437</v>
      </c>
      <c r="E118" s="167" t="s">
        <v>318</v>
      </c>
    </row>
    <row r="119" spans="1:5" ht="18">
      <c r="A119" s="11"/>
      <c r="B119" s="158" t="s">
        <v>437</v>
      </c>
      <c r="C119" s="181" t="s">
        <v>382</v>
      </c>
      <c r="D119" s="182">
        <f>D85/DATI!F24</f>
        <v>11.582920888004477</v>
      </c>
      <c r="E119" s="167" t="s">
        <v>318</v>
      </c>
    </row>
    <row r="120" spans="1:5" s="3" customFormat="1">
      <c r="A120" s="11"/>
      <c r="B120" s="11" t="s">
        <v>392</v>
      </c>
      <c r="C120" s="188" t="s">
        <v>385</v>
      </c>
      <c r="D120" s="189">
        <f>D119/D118</f>
        <v>0.24621230040633044</v>
      </c>
      <c r="E120" s="190" t="s">
        <v>367</v>
      </c>
    </row>
    <row r="121" spans="1:5" s="3" customFormat="1" ht="8.4499999999999993" customHeight="1">
      <c r="A121" s="11"/>
      <c r="B121" s="11"/>
      <c r="C121" s="188"/>
      <c r="D121" s="189"/>
      <c r="E121" s="190"/>
    </row>
    <row r="122" spans="1:5" ht="14.45" customHeight="1">
      <c r="A122" s="11"/>
      <c r="B122" s="299" t="s">
        <v>416</v>
      </c>
      <c r="C122" s="299"/>
      <c r="D122" s="299"/>
      <c r="E122" s="299"/>
    </row>
    <row r="123" spans="1:5">
      <c r="A123" s="11"/>
      <c r="B123" s="299"/>
      <c r="C123" s="299"/>
      <c r="D123" s="299"/>
      <c r="E123" s="299"/>
    </row>
    <row r="124" spans="1:5">
      <c r="A124" s="11"/>
      <c r="B124" s="11"/>
      <c r="C124" s="11"/>
      <c r="D124" s="11"/>
      <c r="E124" s="11"/>
    </row>
    <row r="125" spans="1:5">
      <c r="A125" s="11"/>
      <c r="B125" s="11"/>
      <c r="C125" s="11"/>
      <c r="D125" s="11"/>
      <c r="E125" s="11"/>
    </row>
  </sheetData>
  <sheetProtection algorithmName="SHA-512" hashValue="nFZNFvgftso4RiiOa5nPpPaGPgdJjadPtsllDi0G806zCgSQeWJFVvMJVSaF9MRLQ5Fmsoel8vQ/yMYKYgXHQQ==" saltValue="XUgkOmoWkdhPjUlzNbAJ8A==" spinCount="100000" sheet="1" objects="1" scenarios="1"/>
  <customSheetViews>
    <customSheetView guid="{2499ACAE-A2C7-4F7F-900A-65021AFAF04C}" showGridLines="0" showRowCol="0" fitToPage="1">
      <selection activeCell="B1" sqref="B1:E1"/>
      <rowBreaks count="1" manualBreakCount="1">
        <brk id="62" max="16383" man="1"/>
      </rowBreaks>
      <colBreaks count="1" manualBreakCount="1">
        <brk id="1" max="1048575" man="1"/>
      </colBreaks>
      <pageMargins left="0.70866141732283472" right="0.51181102362204722" top="0.39370078740157483" bottom="0.59055118110236227" header="0.31496062992125984" footer="0.31496062992125984"/>
      <pageSetup paperSize="9" scale="78" fitToHeight="0" orientation="portrait" r:id="rId1"/>
    </customSheetView>
    <customSheetView guid="{4556642F-611B-4273-921A-A5552A57B1F5}" showGridLines="0" showRowCol="0" fitToPage="1">
      <selection activeCell="D33" sqref="D33"/>
      <rowBreaks count="1" manualBreakCount="1">
        <brk id="60" max="16383" man="1"/>
      </rowBreaks>
      <colBreaks count="1" manualBreakCount="1">
        <brk id="1" max="1048575" man="1"/>
      </colBreaks>
      <pageMargins left="0.70866141732283472" right="0.51181102362204722" top="0.39370078740157483" bottom="0.59055118110236227" header="0.31496062992125984" footer="0.31496062992125984"/>
      <pageSetup paperSize="9" scale="81" fitToHeight="0" orientation="portrait" r:id="rId2"/>
    </customSheetView>
    <customSheetView guid="{4F428F85-A986-464A-BD5B-D43EDDD1A16A}" showGridLines="0" showRowCol="0" fitToPage="1">
      <selection activeCell="H51" sqref="H51"/>
      <rowBreaks count="1" manualBreakCount="1">
        <brk id="60" max="16383" man="1"/>
      </rowBreaks>
      <colBreaks count="1" manualBreakCount="1">
        <brk id="1" max="1048575" man="1"/>
      </colBreaks>
      <pageMargins left="0.70866141732283472" right="0.51181102362204722" top="0.39370078740157483" bottom="0.59055118110236227" header="0.31496062992125984" footer="0.31496062992125984"/>
      <pageSetup paperSize="9" scale="81" fitToHeight="0" orientation="portrait" r:id="rId3"/>
    </customSheetView>
  </customSheetViews>
  <mergeCells count="13">
    <mergeCell ref="B110:E112"/>
    <mergeCell ref="B122:E123"/>
    <mergeCell ref="B1:E1"/>
    <mergeCell ref="D71:E71"/>
    <mergeCell ref="D76:E76"/>
    <mergeCell ref="B101:C101"/>
    <mergeCell ref="B109:C109"/>
    <mergeCell ref="B3:E11"/>
    <mergeCell ref="B79:E81"/>
    <mergeCell ref="B25:C25"/>
    <mergeCell ref="B42:C42"/>
    <mergeCell ref="B78:C78"/>
    <mergeCell ref="B86:C86"/>
  </mergeCells>
  <conditionalFormatting sqref="D95">
    <cfRule type="cellIs" dxfId="3" priority="4" operator="lessThan">
      <formula>1</formula>
    </cfRule>
  </conditionalFormatting>
  <conditionalFormatting sqref="D99">
    <cfRule type="cellIs" dxfId="2" priority="3" operator="lessThan">
      <formula>1</formula>
    </cfRule>
  </conditionalFormatting>
  <conditionalFormatting sqref="D120">
    <cfRule type="cellIs" dxfId="1" priority="2" operator="lessThan">
      <formula>1</formula>
    </cfRule>
  </conditionalFormatting>
  <conditionalFormatting sqref="D107">
    <cfRule type="cellIs" dxfId="0" priority="1" operator="equal">
      <formula>"ver"</formula>
    </cfRule>
  </conditionalFormatting>
  <pageMargins left="0.70866141732283472" right="0.51181102362204722" top="0.39370078740157483" bottom="0.59055118110236227" header="0.31496062992125984" footer="0.31496062992125984"/>
  <pageSetup paperSize="9" scale="78" fitToHeight="0" orientation="portrait" r:id="rId4"/>
  <rowBreaks count="1" manualBreakCount="1">
    <brk id="62" max="16383" man="1"/>
  </rowBreaks>
  <colBreaks count="1" manualBreakCount="1">
    <brk id="1" max="1048575" man="1"/>
  </colBreaks>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18</vt:i4>
      </vt:variant>
    </vt:vector>
  </HeadingPairs>
  <TitlesOfParts>
    <vt:vector size="30" baseType="lpstr">
      <vt:lpstr>FOGLIO DEPOSITO-muraturaC7-19</vt:lpstr>
      <vt:lpstr>ISTRUZIONI</vt:lpstr>
      <vt:lpstr>DATI</vt:lpstr>
      <vt:lpstr>Foglio1</vt:lpstr>
      <vt:lpstr>Caratteristiche Materiale c617</vt:lpstr>
      <vt:lpstr>Caratteristiche Materiale C7-19</vt:lpstr>
      <vt:lpstr>FOGLIO DEPOSITO</vt:lpstr>
      <vt:lpstr>RESISTENZA MURATURA</vt:lpstr>
      <vt:lpstr>VERIFICA ARCHITRAVE</vt:lpstr>
      <vt:lpstr>LEGAME COSTITUTIVO</vt:lpstr>
      <vt:lpstr>NTC18 &amp; CIRCOLARE2019</vt:lpstr>
      <vt:lpstr>NTC &amp; CIRCOLARE2009</vt:lpstr>
      <vt:lpstr>an</vt:lpstr>
      <vt:lpstr>ana</vt:lpstr>
      <vt:lpstr>anaana</vt:lpstr>
      <vt:lpstr>ann</vt:lpstr>
      <vt:lpstr>cat</vt:lpstr>
      <vt:lpstr>cate</vt:lpstr>
      <vt:lpstr>LC</vt:lpstr>
      <vt:lpstr>lclc</vt:lpstr>
      <vt:lpstr>Mat</vt:lpstr>
      <vt:lpstr>mate</vt:lpstr>
      <vt:lpstr>MUR</vt:lpstr>
      <vt:lpstr>mura</vt:lpstr>
      <vt:lpstr>muratur</vt:lpstr>
      <vt:lpstr>perc</vt:lpstr>
      <vt:lpstr>percen</vt:lpstr>
      <vt:lpstr>PROF</vt:lpstr>
      <vt:lpstr>sn</vt:lpstr>
      <vt:lpstr>snsn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Davide</dc:creator>
  <cp:lastModifiedBy>Davide</cp:lastModifiedBy>
  <cp:lastPrinted>2019-06-30T13:46:36Z</cp:lastPrinted>
  <dcterms:created xsi:type="dcterms:W3CDTF">2015-02-25T02:59:02Z</dcterms:created>
  <dcterms:modified xsi:type="dcterms:W3CDTF">2019-07-04T21:09:33Z</dcterms:modified>
</cp:coreProperties>
</file>