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MPUTER\LAVORI DAVIDE\LIBRO 2018 AGGIORNAMENTO\FOGLI DI CALCOLO\"/>
    </mc:Choice>
  </mc:AlternateContent>
  <workbookProtection workbookAlgorithmName="SHA-512" workbookHashValue="hZmc3jAmrGotIplSzzobX9X9OOMkfi1WkrpChQpG+JWKp1Vkgq2hbSr2JFRO5IvdxoEpQKe6jg266XsC85NiSQ==" workbookSaltValue="y61guDTppaJ1qQp0B/jGAA==" workbookSpinCount="100000" revisionsAlgorithmName="SHA-512" revisionsHashValue="QrbvMlBENAh2goDQyo7T+Knh1gYaAs5QCiJGYyybeMNjwu59EQ8NOj7Ur5kk62resbQ20poXh5lW8Zak2jkYDw==" revisionsSaltValue="TIpn3Va5eazsh6zuoJ61Fw==" revisionsSpinCount="100000" lockStructure="1" lockRevision="1"/>
  <bookViews>
    <workbookView xWindow="0" yWindow="0" windowWidth="28800" windowHeight="12432" tabRatio="868"/>
  </bookViews>
  <sheets>
    <sheet name="ISTRUZIONI" sheetId="1" r:id="rId1"/>
    <sheet name="DATI" sheetId="2" r:id="rId2"/>
    <sheet name="LEGAME COSTITUTIVO CALCESTRUZZO" sheetId="3" r:id="rId3"/>
    <sheet name="LEGAME COSTITUTIVO ACCIAIO" sheetId="4" r:id="rId4"/>
    <sheet name="foglio deposito" sheetId="5" state="hidden" r:id="rId5"/>
  </sheets>
  <externalReferences>
    <externalReference r:id="rId6"/>
    <externalReference r:id="rId7"/>
  </externalReferences>
  <definedNames>
    <definedName name="ca">'[1]Foglio deposito'!$D$2:$D$4</definedName>
    <definedName name="cari">'[1]Foglio deposito'!$F$2:$F$4</definedName>
    <definedName name="cd">[1]Foglio1!$S$19:$S$20</definedName>
    <definedName name="clas" localSheetId="0">'[1]Foglio deposito'!$M$10:$M$18</definedName>
    <definedName name="clas">'foglio deposito'!$B$145:$B$154</definedName>
    <definedName name="CURV">#REF!</definedName>
    <definedName name="dut">'foglio deposito'!#REF!</definedName>
    <definedName name="fe">'[1]Foglio deposito'!$P$10:$P$11</definedName>
    <definedName name="fer">'foglio deposito'!$J$4:$J$5</definedName>
    <definedName name="FERR">[1]Foglio1!$K$4:$K$8</definedName>
    <definedName name="ff">[1]Foglio1!$N$4:$N$9</definedName>
    <definedName name="nn">[1]Foglio1!$M$6:$M$10</definedName>
    <definedName name="NU">[1]Foglio1!$M$4:$M$10</definedName>
    <definedName name="sigc">'[1]Foglio deposito'!$E$141:$E$142</definedName>
    <definedName name="sigs">'[1]Foglio deposito'!$F$141:$F$142</definedName>
    <definedName name="SN" localSheetId="0">'[1]Foglio deposito'!$B$2:$B$3</definedName>
    <definedName name="sn">'foglio deposito'!$I$29:$I$30</definedName>
    <definedName name="step">#REF!</definedName>
    <definedName name="w">'[2]DATI NASCOSTI'!$C$105:$C$107</definedName>
  </definedNames>
  <calcPr calcId="162913"/>
  <customWorkbookViews>
    <customWorkbookView name="Utente - Visualizzazione personale" guid="{D7B93BBD-52EA-4172-A62E-DCFF75B40052}" mergeInterval="0" personalView="1" maximized="1" xWindow="1911" yWindow="-9" windowWidth="1938" windowHeight="1098" tabRatio="868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N25" i="3"/>
  <c r="N32" i="3"/>
  <c r="N30" i="3"/>
  <c r="N29" i="3"/>
  <c r="N28" i="3"/>
  <c r="N27" i="3"/>
  <c r="O37" i="3"/>
  <c r="N37" i="3"/>
  <c r="N36" i="3"/>
  <c r="N24" i="3"/>
  <c r="N26" i="3"/>
  <c r="O34" i="3" l="1"/>
  <c r="Q15" i="4"/>
  <c r="Q14" i="4" s="1"/>
  <c r="B42" i="5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O22" i="3" l="1"/>
  <c r="Q23" i="5"/>
  <c r="L24" i="5" l="1"/>
  <c r="M23" i="5"/>
  <c r="L23" i="5"/>
  <c r="Q13" i="4"/>
  <c r="Q11" i="4"/>
  <c r="Q6" i="4"/>
  <c r="D13" i="5" l="1"/>
  <c r="F22" i="2" l="1"/>
  <c r="Q8" i="4" s="1"/>
  <c r="F23" i="2"/>
  <c r="Q9" i="4" s="1"/>
  <c r="I25" i="5"/>
  <c r="I22" i="5"/>
  <c r="L22" i="5" s="1"/>
  <c r="Q17" i="4" l="1"/>
  <c r="I21" i="5"/>
  <c r="L21" i="5" s="1"/>
  <c r="L25" i="5"/>
  <c r="K12" i="5" l="1"/>
  <c r="F24" i="2"/>
  <c r="Q21" i="5" s="1"/>
  <c r="F9" i="2"/>
  <c r="F11" i="2" s="1"/>
  <c r="Q10" i="4" l="1"/>
  <c r="J24" i="5" s="1"/>
  <c r="F12" i="2"/>
  <c r="D11" i="5"/>
  <c r="F17" i="2"/>
  <c r="J25" i="5" l="1"/>
  <c r="M25" i="5" s="1"/>
  <c r="M24" i="5"/>
  <c r="C22" i="5"/>
  <c r="C23" i="5"/>
  <c r="L34" i="5" s="1"/>
  <c r="F13" i="2"/>
  <c r="F10" i="2"/>
  <c r="D29" i="5" l="1"/>
  <c r="F29" i="5" s="1"/>
  <c r="L33" i="5"/>
  <c r="J22" i="5"/>
  <c r="M22" i="5" s="1"/>
  <c r="J21" i="5"/>
  <c r="M21" i="5" s="1"/>
  <c r="F14" i="2"/>
  <c r="F15" i="2" s="1"/>
  <c r="F16" i="2" l="1"/>
  <c r="H22" i="5"/>
  <c r="H23" i="5"/>
  <c r="F23" i="5" s="1"/>
  <c r="H21" i="5"/>
  <c r="H25" i="5"/>
  <c r="C145" i="5"/>
  <c r="H20" i="5" l="1"/>
  <c r="F22" i="5" s="1"/>
  <c r="O27" i="3" s="1"/>
  <c r="D30" i="5" l="1"/>
  <c r="H24" i="5"/>
  <c r="R25" i="5" s="1"/>
  <c r="P25" i="5" s="1"/>
  <c r="E4" i="5" l="1"/>
  <c r="E6" i="5"/>
  <c r="E7" i="5"/>
  <c r="B11" i="3" l="1"/>
  <c r="E11" i="3" s="1"/>
  <c r="D11" i="3" l="1"/>
  <c r="F11" i="3" s="1"/>
  <c r="B8" i="3"/>
  <c r="E8" i="3" s="1"/>
  <c r="B12" i="3"/>
  <c r="E12" i="3" s="1"/>
  <c r="B16" i="3"/>
  <c r="E16" i="3" s="1"/>
  <c r="B20" i="3"/>
  <c r="E20" i="3" s="1"/>
  <c r="B24" i="3"/>
  <c r="E24" i="3" s="1"/>
  <c r="B28" i="3"/>
  <c r="E28" i="3" s="1"/>
  <c r="B32" i="3"/>
  <c r="E32" i="3" s="1"/>
  <c r="B36" i="3"/>
  <c r="E36" i="3" s="1"/>
  <c r="B40" i="3"/>
  <c r="E40" i="3" s="1"/>
  <c r="B44" i="3"/>
  <c r="E44" i="3" s="1"/>
  <c r="B48" i="3"/>
  <c r="E48" i="3" s="1"/>
  <c r="B52" i="3"/>
  <c r="E52" i="3" s="1"/>
  <c r="B56" i="3"/>
  <c r="E56" i="3" s="1"/>
  <c r="B60" i="3"/>
  <c r="E60" i="3" s="1"/>
  <c r="B64" i="3"/>
  <c r="E64" i="3" s="1"/>
  <c r="B68" i="3"/>
  <c r="E68" i="3" s="1"/>
  <c r="B72" i="3"/>
  <c r="E72" i="3" s="1"/>
  <c r="B76" i="3"/>
  <c r="E76" i="3" s="1"/>
  <c r="B80" i="3"/>
  <c r="E80" i="3" s="1"/>
  <c r="B84" i="3"/>
  <c r="E84" i="3" s="1"/>
  <c r="B88" i="3"/>
  <c r="E88" i="3" s="1"/>
  <c r="B92" i="3"/>
  <c r="E92" i="3" s="1"/>
  <c r="B96" i="3"/>
  <c r="E96" i="3" s="1"/>
  <c r="B100" i="3"/>
  <c r="E100" i="3" s="1"/>
  <c r="B104" i="3"/>
  <c r="E104" i="3" s="1"/>
  <c r="B7" i="3"/>
  <c r="B15" i="3"/>
  <c r="E15" i="3" s="1"/>
  <c r="B19" i="3"/>
  <c r="E19" i="3" s="1"/>
  <c r="B23" i="3"/>
  <c r="E23" i="3" s="1"/>
  <c r="B27" i="3"/>
  <c r="E27" i="3" s="1"/>
  <c r="B31" i="3"/>
  <c r="E31" i="3" s="1"/>
  <c r="B35" i="3"/>
  <c r="E35" i="3" s="1"/>
  <c r="B39" i="3"/>
  <c r="E39" i="3" s="1"/>
  <c r="B43" i="3"/>
  <c r="E43" i="3" s="1"/>
  <c r="B47" i="3"/>
  <c r="E47" i="3" s="1"/>
  <c r="B51" i="3"/>
  <c r="E51" i="3" s="1"/>
  <c r="B55" i="3"/>
  <c r="E55" i="3" s="1"/>
  <c r="B59" i="3"/>
  <c r="E59" i="3" s="1"/>
  <c r="B63" i="3"/>
  <c r="E63" i="3" s="1"/>
  <c r="B67" i="3"/>
  <c r="E67" i="3" s="1"/>
  <c r="B71" i="3"/>
  <c r="E71" i="3" s="1"/>
  <c r="B75" i="3"/>
  <c r="E75" i="3" s="1"/>
  <c r="B79" i="3"/>
  <c r="E79" i="3" s="1"/>
  <c r="B83" i="3"/>
  <c r="E83" i="3" s="1"/>
  <c r="B87" i="3"/>
  <c r="E87" i="3" s="1"/>
  <c r="B95" i="3"/>
  <c r="E95" i="3" s="1"/>
  <c r="B103" i="3"/>
  <c r="E103" i="3" s="1"/>
  <c r="B9" i="3"/>
  <c r="E9" i="3" s="1"/>
  <c r="B13" i="3"/>
  <c r="E13" i="3" s="1"/>
  <c r="B17" i="3"/>
  <c r="E17" i="3" s="1"/>
  <c r="B21" i="3"/>
  <c r="E21" i="3" s="1"/>
  <c r="B25" i="3"/>
  <c r="E25" i="3" s="1"/>
  <c r="B29" i="3"/>
  <c r="E29" i="3" s="1"/>
  <c r="B33" i="3"/>
  <c r="E33" i="3" s="1"/>
  <c r="B37" i="3"/>
  <c r="E37" i="3" s="1"/>
  <c r="B41" i="3"/>
  <c r="E41" i="3" s="1"/>
  <c r="B45" i="3"/>
  <c r="E45" i="3" s="1"/>
  <c r="B49" i="3"/>
  <c r="E49" i="3" s="1"/>
  <c r="B53" i="3"/>
  <c r="E53" i="3" s="1"/>
  <c r="B57" i="3"/>
  <c r="E57" i="3" s="1"/>
  <c r="B61" i="3"/>
  <c r="E61" i="3" s="1"/>
  <c r="B65" i="3"/>
  <c r="E65" i="3" s="1"/>
  <c r="B69" i="3"/>
  <c r="E69" i="3" s="1"/>
  <c r="B73" i="3"/>
  <c r="E73" i="3" s="1"/>
  <c r="B77" i="3"/>
  <c r="E77" i="3" s="1"/>
  <c r="B81" i="3"/>
  <c r="E81" i="3" s="1"/>
  <c r="B85" i="3"/>
  <c r="E85" i="3" s="1"/>
  <c r="B89" i="3"/>
  <c r="E89" i="3" s="1"/>
  <c r="B93" i="3"/>
  <c r="E93" i="3" s="1"/>
  <c r="B97" i="3"/>
  <c r="E97" i="3" s="1"/>
  <c r="B101" i="3"/>
  <c r="E101" i="3" s="1"/>
  <c r="B105" i="3"/>
  <c r="E105" i="3" s="1"/>
  <c r="B99" i="3"/>
  <c r="E99" i="3" s="1"/>
  <c r="B6" i="3"/>
  <c r="E6" i="3" s="1"/>
  <c r="B10" i="3"/>
  <c r="E10" i="3" s="1"/>
  <c r="B14" i="3"/>
  <c r="E14" i="3" s="1"/>
  <c r="B18" i="3"/>
  <c r="E18" i="3" s="1"/>
  <c r="B22" i="3"/>
  <c r="E22" i="3" s="1"/>
  <c r="B26" i="3"/>
  <c r="E26" i="3" s="1"/>
  <c r="B30" i="3"/>
  <c r="E30" i="3" s="1"/>
  <c r="B34" i="3"/>
  <c r="E34" i="3" s="1"/>
  <c r="B38" i="3"/>
  <c r="E38" i="3" s="1"/>
  <c r="B42" i="3"/>
  <c r="E42" i="3" s="1"/>
  <c r="B46" i="3"/>
  <c r="E46" i="3" s="1"/>
  <c r="B50" i="3"/>
  <c r="E50" i="3" s="1"/>
  <c r="B54" i="3"/>
  <c r="E54" i="3" s="1"/>
  <c r="B58" i="3"/>
  <c r="E58" i="3" s="1"/>
  <c r="B62" i="3"/>
  <c r="E62" i="3" s="1"/>
  <c r="B66" i="3"/>
  <c r="E66" i="3" s="1"/>
  <c r="B70" i="3"/>
  <c r="E70" i="3" s="1"/>
  <c r="B74" i="3"/>
  <c r="E74" i="3" s="1"/>
  <c r="B78" i="3"/>
  <c r="E78" i="3" s="1"/>
  <c r="B82" i="3"/>
  <c r="E82" i="3" s="1"/>
  <c r="B86" i="3"/>
  <c r="E86" i="3" s="1"/>
  <c r="B90" i="3"/>
  <c r="E90" i="3" s="1"/>
  <c r="B94" i="3"/>
  <c r="E94" i="3" s="1"/>
  <c r="B98" i="3"/>
  <c r="E98" i="3" s="1"/>
  <c r="B102" i="3"/>
  <c r="E102" i="3" s="1"/>
  <c r="B106" i="3"/>
  <c r="E106" i="3" s="1"/>
  <c r="B91" i="3"/>
  <c r="E91" i="3" s="1"/>
  <c r="E5" i="5"/>
  <c r="E7" i="3" l="1"/>
  <c r="C7" i="3"/>
  <c r="G11" i="3"/>
  <c r="C6" i="3"/>
  <c r="I6" i="3" s="1"/>
  <c r="H11" i="3"/>
  <c r="D98" i="3"/>
  <c r="F98" i="3" s="1"/>
  <c r="D50" i="3"/>
  <c r="F50" i="3" s="1"/>
  <c r="D99" i="3"/>
  <c r="F99" i="3" s="1"/>
  <c r="D77" i="3"/>
  <c r="F77" i="3" s="1"/>
  <c r="D29" i="3"/>
  <c r="F29" i="3" s="1"/>
  <c r="D71" i="3"/>
  <c r="F71" i="3" s="1"/>
  <c r="D104" i="3"/>
  <c r="F104" i="3" s="1"/>
  <c r="D8" i="3"/>
  <c r="F8" i="3" s="1"/>
  <c r="D94" i="3"/>
  <c r="F94" i="3" s="1"/>
  <c r="D62" i="3"/>
  <c r="F62" i="3" s="1"/>
  <c r="D14" i="3"/>
  <c r="F14" i="3" s="1"/>
  <c r="D90" i="3"/>
  <c r="F90" i="3" s="1"/>
  <c r="D58" i="3"/>
  <c r="F58" i="3" s="1"/>
  <c r="D26" i="3"/>
  <c r="F26" i="3" s="1"/>
  <c r="D102" i="3"/>
  <c r="F102" i="3" s="1"/>
  <c r="D86" i="3"/>
  <c r="F86" i="3" s="1"/>
  <c r="D70" i="3"/>
  <c r="F70" i="3" s="1"/>
  <c r="D54" i="3"/>
  <c r="F54" i="3" s="1"/>
  <c r="D38" i="3"/>
  <c r="F38" i="3" s="1"/>
  <c r="D22" i="3"/>
  <c r="F22" i="3" s="1"/>
  <c r="D6" i="3"/>
  <c r="F6" i="3" s="1"/>
  <c r="D97" i="3"/>
  <c r="F97" i="3" s="1"/>
  <c r="D81" i="3"/>
  <c r="F81" i="3" s="1"/>
  <c r="D65" i="3"/>
  <c r="F65" i="3" s="1"/>
  <c r="D49" i="3"/>
  <c r="F49" i="3" s="1"/>
  <c r="D33" i="3"/>
  <c r="F33" i="3" s="1"/>
  <c r="D17" i="3"/>
  <c r="F17" i="3" s="1"/>
  <c r="D95" i="3"/>
  <c r="F95" i="3" s="1"/>
  <c r="D75" i="3"/>
  <c r="F75" i="3" s="1"/>
  <c r="D59" i="3"/>
  <c r="F59" i="3" s="1"/>
  <c r="D43" i="3"/>
  <c r="F43" i="3" s="1"/>
  <c r="D27" i="3"/>
  <c r="F27" i="3" s="1"/>
  <c r="D7" i="3"/>
  <c r="F7" i="3" s="1"/>
  <c r="D92" i="3"/>
  <c r="F92" i="3" s="1"/>
  <c r="D76" i="3"/>
  <c r="F76" i="3" s="1"/>
  <c r="D60" i="3"/>
  <c r="F60" i="3" s="1"/>
  <c r="D44" i="3"/>
  <c r="F44" i="3" s="1"/>
  <c r="D28" i="3"/>
  <c r="F28" i="3" s="1"/>
  <c r="D12" i="3"/>
  <c r="F12" i="3" s="1"/>
  <c r="D66" i="3"/>
  <c r="F66" i="3" s="1"/>
  <c r="D34" i="3"/>
  <c r="F34" i="3" s="1"/>
  <c r="D61" i="3"/>
  <c r="F61" i="3" s="1"/>
  <c r="D13" i="3"/>
  <c r="F13" i="3" s="1"/>
  <c r="C13" i="3"/>
  <c r="D55" i="3"/>
  <c r="F55" i="3" s="1"/>
  <c r="D23" i="3"/>
  <c r="F23" i="3" s="1"/>
  <c r="D72" i="3"/>
  <c r="F72" i="3" s="1"/>
  <c r="D56" i="3"/>
  <c r="F56" i="3" s="1"/>
  <c r="D40" i="3"/>
  <c r="F40" i="3" s="1"/>
  <c r="D78" i="3"/>
  <c r="F78" i="3" s="1"/>
  <c r="D30" i="3"/>
  <c r="F30" i="3" s="1"/>
  <c r="D105" i="3"/>
  <c r="F105" i="3" s="1"/>
  <c r="D89" i="3"/>
  <c r="F89" i="3" s="1"/>
  <c r="D73" i="3"/>
  <c r="F73" i="3" s="1"/>
  <c r="D57" i="3"/>
  <c r="F57" i="3" s="1"/>
  <c r="D41" i="3"/>
  <c r="F41" i="3" s="1"/>
  <c r="D25" i="3"/>
  <c r="F25" i="3" s="1"/>
  <c r="D9" i="3"/>
  <c r="F9" i="3" s="1"/>
  <c r="D83" i="3"/>
  <c r="F83" i="3" s="1"/>
  <c r="D67" i="3"/>
  <c r="F67" i="3" s="1"/>
  <c r="D51" i="3"/>
  <c r="F51" i="3" s="1"/>
  <c r="D35" i="3"/>
  <c r="F35" i="3" s="1"/>
  <c r="D19" i="3"/>
  <c r="F19" i="3" s="1"/>
  <c r="D100" i="3"/>
  <c r="F100" i="3" s="1"/>
  <c r="D84" i="3"/>
  <c r="F84" i="3" s="1"/>
  <c r="D68" i="3"/>
  <c r="F68" i="3" s="1"/>
  <c r="D52" i="3"/>
  <c r="F52" i="3" s="1"/>
  <c r="D36" i="3"/>
  <c r="F36" i="3" s="1"/>
  <c r="D20" i="3"/>
  <c r="F20" i="3" s="1"/>
  <c r="D82" i="3"/>
  <c r="F82" i="3" s="1"/>
  <c r="D18" i="3"/>
  <c r="F18" i="3" s="1"/>
  <c r="D93" i="3"/>
  <c r="F93" i="3" s="1"/>
  <c r="D45" i="3"/>
  <c r="F45" i="3" s="1"/>
  <c r="D87" i="3"/>
  <c r="F87" i="3" s="1"/>
  <c r="D39" i="3"/>
  <c r="F39" i="3" s="1"/>
  <c r="D88" i="3"/>
  <c r="F88" i="3" s="1"/>
  <c r="D24" i="3"/>
  <c r="F24" i="3" s="1"/>
  <c r="D91" i="3"/>
  <c r="F91" i="3" s="1"/>
  <c r="D46" i="3"/>
  <c r="F46" i="3" s="1"/>
  <c r="D106" i="3"/>
  <c r="F106" i="3" s="1"/>
  <c r="D74" i="3"/>
  <c r="F74" i="3" s="1"/>
  <c r="D42" i="3"/>
  <c r="F42" i="3" s="1"/>
  <c r="D10" i="3"/>
  <c r="F10" i="3" s="1"/>
  <c r="D101" i="3"/>
  <c r="F101" i="3" s="1"/>
  <c r="D85" i="3"/>
  <c r="F85" i="3" s="1"/>
  <c r="D69" i="3"/>
  <c r="F69" i="3" s="1"/>
  <c r="D53" i="3"/>
  <c r="F53" i="3" s="1"/>
  <c r="D37" i="3"/>
  <c r="F37" i="3" s="1"/>
  <c r="D21" i="3"/>
  <c r="F21" i="3" s="1"/>
  <c r="D103" i="3"/>
  <c r="F103" i="3" s="1"/>
  <c r="D79" i="3"/>
  <c r="F79" i="3" s="1"/>
  <c r="D63" i="3"/>
  <c r="F63" i="3" s="1"/>
  <c r="D47" i="3"/>
  <c r="F47" i="3" s="1"/>
  <c r="D31" i="3"/>
  <c r="F31" i="3" s="1"/>
  <c r="D15" i="3"/>
  <c r="F15" i="3" s="1"/>
  <c r="D96" i="3"/>
  <c r="F96" i="3" s="1"/>
  <c r="D80" i="3"/>
  <c r="F80" i="3" s="1"/>
  <c r="D64" i="3"/>
  <c r="F64" i="3" s="1"/>
  <c r="D48" i="3"/>
  <c r="F48" i="3" s="1"/>
  <c r="D32" i="3"/>
  <c r="F32" i="3" s="1"/>
  <c r="D16" i="3"/>
  <c r="F16" i="3" s="1"/>
  <c r="C9" i="3"/>
  <c r="C8" i="3"/>
  <c r="C10" i="3"/>
  <c r="C11" i="3"/>
  <c r="C12" i="3"/>
  <c r="C105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6" i="3"/>
  <c r="C14" i="3"/>
  <c r="I11" i="3" l="1"/>
  <c r="G25" i="3"/>
  <c r="I25" i="3" s="1"/>
  <c r="G58" i="3"/>
  <c r="I58" i="3" s="1"/>
  <c r="G21" i="3"/>
  <c r="I21" i="3" s="1"/>
  <c r="G59" i="3"/>
  <c r="I59" i="3" s="1"/>
  <c r="G84" i="3"/>
  <c r="I84" i="3" s="1"/>
  <c r="G97" i="3"/>
  <c r="I97" i="3" s="1"/>
  <c r="G80" i="3"/>
  <c r="I80" i="3" s="1"/>
  <c r="G28" i="3"/>
  <c r="I28" i="3" s="1"/>
  <c r="G90" i="3"/>
  <c r="I90" i="3" s="1"/>
  <c r="G64" i="3"/>
  <c r="I64" i="3" s="1"/>
  <c r="G103" i="3"/>
  <c r="I103" i="3" s="1"/>
  <c r="G42" i="3"/>
  <c r="I42" i="3" s="1"/>
  <c r="G45" i="3"/>
  <c r="I45" i="3" s="1"/>
  <c r="G68" i="3"/>
  <c r="I68" i="3" s="1"/>
  <c r="G9" i="3"/>
  <c r="I9" i="3" s="1"/>
  <c r="G94" i="3"/>
  <c r="I94" i="3" s="1"/>
  <c r="G66" i="3"/>
  <c r="I66" i="3" s="1"/>
  <c r="G7" i="3"/>
  <c r="I7" i="3" s="1"/>
  <c r="G49" i="3"/>
  <c r="I49" i="3" s="1"/>
  <c r="G86" i="3"/>
  <c r="I86" i="3" s="1"/>
  <c r="G77" i="3"/>
  <c r="I77" i="3" s="1"/>
  <c r="G56" i="3"/>
  <c r="I56" i="3" s="1"/>
  <c r="G31" i="3"/>
  <c r="I31" i="3" s="1"/>
  <c r="G69" i="3"/>
  <c r="I69" i="3" s="1"/>
  <c r="G23" i="3"/>
  <c r="I23" i="3" s="1"/>
  <c r="G82" i="3"/>
  <c r="I82" i="3" s="1"/>
  <c r="G35" i="3"/>
  <c r="I35" i="3" s="1"/>
  <c r="G73" i="3"/>
  <c r="I73" i="3" s="1"/>
  <c r="G29" i="3"/>
  <c r="I29" i="3" s="1"/>
  <c r="G44" i="3"/>
  <c r="I44" i="3" s="1"/>
  <c r="G75" i="3"/>
  <c r="I75" i="3" s="1"/>
  <c r="G22" i="3"/>
  <c r="I22" i="3" s="1"/>
  <c r="G74" i="3"/>
  <c r="I74" i="3" s="1"/>
  <c r="G16" i="3"/>
  <c r="I16" i="3" s="1"/>
  <c r="G47" i="3"/>
  <c r="I47" i="3" s="1"/>
  <c r="G85" i="3"/>
  <c r="I85" i="3" s="1"/>
  <c r="G55" i="3"/>
  <c r="I55" i="3" s="1"/>
  <c r="G20" i="3"/>
  <c r="I20" i="3" s="1"/>
  <c r="G51" i="3"/>
  <c r="I51" i="3" s="1"/>
  <c r="G89" i="3"/>
  <c r="I89" i="3" s="1"/>
  <c r="G34" i="3"/>
  <c r="I34" i="3" s="1"/>
  <c r="G92" i="3"/>
  <c r="I92" i="3" s="1"/>
  <c r="G33" i="3"/>
  <c r="I33" i="3" s="1"/>
  <c r="G70" i="3"/>
  <c r="I70" i="3" s="1"/>
  <c r="G30" i="3"/>
  <c r="I30" i="3" s="1"/>
  <c r="G91" i="3"/>
  <c r="I91" i="3" s="1"/>
  <c r="G61" i="3"/>
  <c r="I61" i="3" s="1"/>
  <c r="G32" i="3"/>
  <c r="I32" i="3" s="1"/>
  <c r="G96" i="3"/>
  <c r="I96" i="3" s="1"/>
  <c r="G63" i="3"/>
  <c r="I63" i="3" s="1"/>
  <c r="G37" i="3"/>
  <c r="I37" i="3" s="1"/>
  <c r="G101" i="3"/>
  <c r="I101" i="3" s="1"/>
  <c r="G40" i="3"/>
  <c r="I40" i="3" s="1"/>
  <c r="G87" i="3"/>
  <c r="I87" i="3" s="1"/>
  <c r="G99" i="3"/>
  <c r="I99" i="3" s="1"/>
  <c r="G36" i="3"/>
  <c r="I36" i="3" s="1"/>
  <c r="G100" i="3"/>
  <c r="I100" i="3" s="1"/>
  <c r="G67" i="3"/>
  <c r="I67" i="3" s="1"/>
  <c r="G41" i="3"/>
  <c r="I41" i="3" s="1"/>
  <c r="G105" i="3"/>
  <c r="I105" i="3" s="1"/>
  <c r="G62" i="3"/>
  <c r="I62" i="3" s="1"/>
  <c r="G8" i="3"/>
  <c r="I8" i="3" s="1"/>
  <c r="G39" i="3"/>
  <c r="I39" i="3" s="1"/>
  <c r="G93" i="3"/>
  <c r="I93" i="3" s="1"/>
  <c r="G98" i="3"/>
  <c r="I98" i="3" s="1"/>
  <c r="G60" i="3"/>
  <c r="I60" i="3" s="1"/>
  <c r="G27" i="3"/>
  <c r="I27" i="3" s="1"/>
  <c r="G95" i="3"/>
  <c r="I95" i="3" s="1"/>
  <c r="G65" i="3"/>
  <c r="I65" i="3" s="1"/>
  <c r="G38" i="3"/>
  <c r="I38" i="3" s="1"/>
  <c r="G102" i="3"/>
  <c r="I102" i="3" s="1"/>
  <c r="G106" i="3"/>
  <c r="I106" i="3" s="1"/>
  <c r="G46" i="3"/>
  <c r="I46" i="3" s="1"/>
  <c r="G104" i="3"/>
  <c r="I104" i="3" s="1"/>
  <c r="G48" i="3"/>
  <c r="I48" i="3" s="1"/>
  <c r="G15" i="3"/>
  <c r="I15" i="3" s="1"/>
  <c r="G79" i="3"/>
  <c r="I79" i="3" s="1"/>
  <c r="G53" i="3"/>
  <c r="I53" i="3" s="1"/>
  <c r="G26" i="3"/>
  <c r="I26" i="3" s="1"/>
  <c r="G88" i="3"/>
  <c r="I88" i="3" s="1"/>
  <c r="G13" i="3"/>
  <c r="I13" i="3" s="1"/>
  <c r="G50" i="3"/>
  <c r="I50" i="3" s="1"/>
  <c r="G52" i="3"/>
  <c r="I52" i="3" s="1"/>
  <c r="G19" i="3"/>
  <c r="I19" i="3" s="1"/>
  <c r="G83" i="3"/>
  <c r="I83" i="3" s="1"/>
  <c r="G57" i="3"/>
  <c r="I57" i="3" s="1"/>
  <c r="G14" i="3"/>
  <c r="I14" i="3" s="1"/>
  <c r="G78" i="3"/>
  <c r="I78" i="3" s="1"/>
  <c r="G24" i="3"/>
  <c r="I24" i="3" s="1"/>
  <c r="G71" i="3"/>
  <c r="I71" i="3" s="1"/>
  <c r="G18" i="3"/>
  <c r="I18" i="3" s="1"/>
  <c r="G12" i="3"/>
  <c r="I12" i="3" s="1"/>
  <c r="G76" i="3"/>
  <c r="I76" i="3" s="1"/>
  <c r="G43" i="3"/>
  <c r="I43" i="3" s="1"/>
  <c r="G17" i="3"/>
  <c r="I17" i="3" s="1"/>
  <c r="G81" i="3"/>
  <c r="I81" i="3" s="1"/>
  <c r="G54" i="3"/>
  <c r="I54" i="3" s="1"/>
  <c r="G10" i="3"/>
  <c r="I10" i="3" s="1"/>
  <c r="G72" i="3"/>
  <c r="I72" i="3" s="1"/>
  <c r="H32" i="3"/>
  <c r="H64" i="3"/>
  <c r="H96" i="3"/>
  <c r="H42" i="3"/>
  <c r="H106" i="3"/>
  <c r="H88" i="3"/>
  <c r="H82" i="3"/>
  <c r="H36" i="3"/>
  <c r="H68" i="3"/>
  <c r="H100" i="3"/>
  <c r="H78" i="3"/>
  <c r="H56" i="3"/>
  <c r="H13" i="3"/>
  <c r="H7" i="3"/>
  <c r="H43" i="3"/>
  <c r="H75" i="3"/>
  <c r="H17" i="3"/>
  <c r="H49" i="3"/>
  <c r="H81" i="3"/>
  <c r="H29" i="3"/>
  <c r="H99" i="3"/>
  <c r="H15" i="3"/>
  <c r="H47" i="3"/>
  <c r="H79" i="3"/>
  <c r="H21" i="3"/>
  <c r="H53" i="3"/>
  <c r="H85" i="3"/>
  <c r="H39" i="3"/>
  <c r="H45" i="3"/>
  <c r="H19" i="3"/>
  <c r="H51" i="3"/>
  <c r="H83" i="3"/>
  <c r="H25" i="3"/>
  <c r="H57" i="3"/>
  <c r="H89" i="3"/>
  <c r="H55" i="3"/>
  <c r="H34" i="3"/>
  <c r="H12" i="3"/>
  <c r="H44" i="3"/>
  <c r="H76" i="3"/>
  <c r="H38" i="3"/>
  <c r="H70" i="3"/>
  <c r="H102" i="3"/>
  <c r="H58" i="3"/>
  <c r="H14" i="3"/>
  <c r="H94" i="3"/>
  <c r="H104" i="3"/>
  <c r="H98" i="3"/>
  <c r="H16" i="3"/>
  <c r="H48" i="3"/>
  <c r="H80" i="3"/>
  <c r="H10" i="3"/>
  <c r="H74" i="3"/>
  <c r="H46" i="3"/>
  <c r="H24" i="3"/>
  <c r="H18" i="3"/>
  <c r="H20" i="3"/>
  <c r="H52" i="3"/>
  <c r="H84" i="3"/>
  <c r="H30" i="3"/>
  <c r="H40" i="3"/>
  <c r="H72" i="3"/>
  <c r="H61" i="3"/>
  <c r="H27" i="3"/>
  <c r="H59" i="3"/>
  <c r="H95" i="3"/>
  <c r="H33" i="3"/>
  <c r="H65" i="3"/>
  <c r="H97" i="3"/>
  <c r="H71" i="3"/>
  <c r="H77" i="3"/>
  <c r="H31" i="3"/>
  <c r="H63" i="3"/>
  <c r="H103" i="3"/>
  <c r="H37" i="3"/>
  <c r="H69" i="3"/>
  <c r="H101" i="3"/>
  <c r="H91" i="3"/>
  <c r="H87" i="3"/>
  <c r="H93" i="3"/>
  <c r="H35" i="3"/>
  <c r="H67" i="3"/>
  <c r="H9" i="3"/>
  <c r="H41" i="3"/>
  <c r="H73" i="3"/>
  <c r="H105" i="3"/>
  <c r="H23" i="3"/>
  <c r="H66" i="3"/>
  <c r="H28" i="3"/>
  <c r="H60" i="3"/>
  <c r="H92" i="3"/>
  <c r="H22" i="3"/>
  <c r="H54" i="3"/>
  <c r="H86" i="3"/>
  <c r="H26" i="3"/>
  <c r="H90" i="3"/>
  <c r="H62" i="3"/>
  <c r="H8" i="3"/>
  <c r="H50" i="3"/>
  <c r="O24" i="3" l="1"/>
  <c r="O36" i="3"/>
  <c r="O32" i="3" l="1"/>
  <c r="F25" i="5" s="1"/>
  <c r="O26" i="3"/>
  <c r="O28" i="3" l="1"/>
  <c r="O29" i="3" s="1"/>
  <c r="O25" i="3"/>
  <c r="O31" i="3" l="1"/>
  <c r="O30" i="3"/>
  <c r="F24" i="5" s="1"/>
  <c r="L35" i="5" l="1"/>
  <c r="I34" i="5" s="1"/>
  <c r="J34" i="5"/>
</calcChain>
</file>

<file path=xl/comments1.xml><?xml version="1.0" encoding="utf-8"?>
<comments xmlns="http://schemas.openxmlformats.org/spreadsheetml/2006/main">
  <authors>
    <author>DELL1</author>
  </authors>
  <commentList>
    <comment ref="D5" authorId="0" guid="{3C9EF4C2-345C-424B-B362-AA6FF4A0F0D7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Area sottesa dal grafico al variare della deformazione εc</t>
        </r>
      </text>
    </comment>
    <comment ref="E5" authorId="0" guid="{E7328E3A-F314-4DDE-83B3-F749447E805D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Momento Statico della figura individuata tra la curva e l'asse delle ascisse, riferito all'origine degli assi.</t>
        </r>
      </text>
    </comment>
    <comment ref="H5" authorId="0" guid="{7E45C093-DF61-41AF-A959-A5D72C5FE1FD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Coordinata in ascissa del baricentro.</t>
        </r>
      </text>
    </comment>
    <comment ref="I5" authorId="0" guid="{FC2C312F-1072-4493-806D-52E338A575F6}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Coordina in ordinata del baricentro.</t>
        </r>
      </text>
    </comment>
  </commentList>
</comments>
</file>

<file path=xl/sharedStrings.xml><?xml version="1.0" encoding="utf-8"?>
<sst xmlns="http://schemas.openxmlformats.org/spreadsheetml/2006/main" count="142" uniqueCount="97">
  <si>
    <t>β2</t>
  </si>
  <si>
    <t>β1</t>
  </si>
  <si>
    <t>STEP</t>
  </si>
  <si>
    <t>α</t>
  </si>
  <si>
    <t>Es</t>
  </si>
  <si>
    <t>fyd</t>
  </si>
  <si>
    <t>fcd</t>
  </si>
  <si>
    <t>[‰]</t>
  </si>
  <si>
    <t>εyd</t>
  </si>
  <si>
    <t>εcu</t>
  </si>
  <si>
    <t>εc2</t>
  </si>
  <si>
    <t>RESISTENZE</t>
  </si>
  <si>
    <t>εud</t>
  </si>
  <si>
    <t>fctd</t>
  </si>
  <si>
    <t>Ec</t>
  </si>
  <si>
    <t>εctu</t>
  </si>
  <si>
    <t>si</t>
  </si>
  <si>
    <t>no</t>
  </si>
  <si>
    <t>C8/10</t>
  </si>
  <si>
    <t>Fe B450C</t>
  </si>
  <si>
    <t>C12/15</t>
  </si>
  <si>
    <t>Fe B44k</t>
  </si>
  <si>
    <t>C16/20</t>
  </si>
  <si>
    <t>C20/25</t>
  </si>
  <si>
    <t>C25/30</t>
  </si>
  <si>
    <t>C35/45</t>
  </si>
  <si>
    <t>C40/50</t>
  </si>
  <si>
    <t>C45/55</t>
  </si>
  <si>
    <t>C50/60</t>
  </si>
  <si>
    <t>Resistenza cubica caratteristica</t>
  </si>
  <si>
    <t>Resistenza cilindrica media</t>
  </si>
  <si>
    <t>Resistenza cilindrica caratteristica</t>
  </si>
  <si>
    <t>Resistenza cilindrica di calcolo</t>
  </si>
  <si>
    <t>Resistenza a trazione caratteristica</t>
  </si>
  <si>
    <t>Resistenza a trazione media</t>
  </si>
  <si>
    <t>Resistenza a trazione di calcolo</t>
  </si>
  <si>
    <t>Resistenza tangenziale di calcolo</t>
  </si>
  <si>
    <t xml:space="preserve">Modulo di Young </t>
  </si>
  <si>
    <r>
      <t>E</t>
    </r>
    <r>
      <rPr>
        <b/>
        <sz val="9"/>
        <color theme="1"/>
        <rFont val="Calibri"/>
        <family val="2"/>
        <scheme val="minor"/>
      </rPr>
      <t>c</t>
    </r>
  </si>
  <si>
    <t>Calcestruzzo:</t>
  </si>
  <si>
    <t>Classe di resistenza</t>
  </si>
  <si>
    <t>Acciaio:</t>
  </si>
  <si>
    <t>Tipo Acciaio</t>
  </si>
  <si>
    <t>Deformazione limite del tratta parabolico</t>
  </si>
  <si>
    <t>Deformazione ultima (tratto rettangolare)</t>
  </si>
  <si>
    <t>Deformazione allo snervamento</t>
  </si>
  <si>
    <t>Deformazione ultima</t>
  </si>
  <si>
    <r>
      <t>N/mm</t>
    </r>
    <r>
      <rPr>
        <vertAlign val="super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</si>
  <si>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yk =</t>
    </r>
  </si>
  <si>
    <t>Tensione di snervamento</t>
  </si>
  <si>
    <t>Tensione di Rottura</t>
  </si>
  <si>
    <r>
      <t>f</t>
    </r>
    <r>
      <rPr>
        <b/>
        <sz val="8"/>
        <color theme="1"/>
        <rFont val="Calibri"/>
        <family val="2"/>
        <scheme val="minor"/>
      </rPr>
      <t>k</t>
    </r>
  </si>
  <si>
    <t>[Mpa]</t>
  </si>
  <si>
    <t>DEFORMAZIONI</t>
  </si>
  <si>
    <t>Resistenza  di calcolo</t>
  </si>
  <si>
    <r>
      <t>f</t>
    </r>
    <r>
      <rPr>
        <sz val="8"/>
        <color theme="1"/>
        <rFont val="Calibri"/>
        <family val="2"/>
        <scheme val="minor"/>
      </rPr>
      <t>k</t>
    </r>
  </si>
  <si>
    <r>
      <t>f</t>
    </r>
    <r>
      <rPr>
        <sz val="8"/>
        <color theme="1"/>
        <rFont val="Calibri"/>
        <family val="2"/>
        <scheme val="minor"/>
      </rPr>
      <t>y,k</t>
    </r>
  </si>
  <si>
    <r>
      <t>f</t>
    </r>
    <r>
      <rPr>
        <sz val="8"/>
        <color theme="1"/>
        <rFont val="Calibri"/>
        <family val="2"/>
        <scheme val="minor"/>
      </rPr>
      <t>y,d</t>
    </r>
  </si>
  <si>
    <r>
      <t>E</t>
    </r>
    <r>
      <rPr>
        <sz val="9"/>
        <color theme="1"/>
        <rFont val="Calibri"/>
        <family val="2"/>
        <scheme val="minor"/>
      </rPr>
      <t>c</t>
    </r>
  </si>
  <si>
    <t>A(σ-ε)</t>
  </si>
  <si>
    <t>Sy(σ-ε)</t>
  </si>
  <si>
    <t>LEGAME COSTITUTIVO DEL CALCESTRUZZO: PARABOLA-RETTANGOLO</t>
  </si>
  <si>
    <t>Deformazione limite del tratto parabolico</t>
  </si>
  <si>
    <t>Ing. Davide Cicchini</t>
  </si>
  <si>
    <t>www.davidecicchini.it</t>
  </si>
  <si>
    <r>
      <t>f</t>
    </r>
    <r>
      <rPr>
        <sz val="9"/>
        <color theme="1"/>
        <rFont val="Calibri"/>
        <family val="2"/>
        <scheme val="minor"/>
      </rPr>
      <t>bd</t>
    </r>
  </si>
  <si>
    <r>
      <t>R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</si>
  <si>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cm</t>
    </r>
  </si>
  <si>
    <r>
      <t>f</t>
    </r>
    <r>
      <rPr>
        <b/>
        <sz val="8"/>
        <color theme="1"/>
        <rFont val="Calibri"/>
        <family val="2"/>
        <scheme val="minor"/>
      </rPr>
      <t>ck</t>
    </r>
  </si>
  <si>
    <r>
      <t>f</t>
    </r>
    <r>
      <rPr>
        <b/>
        <sz val="8"/>
        <color theme="1"/>
        <rFont val="Calibri"/>
        <family val="2"/>
        <scheme val="minor"/>
      </rPr>
      <t>cd</t>
    </r>
  </si>
  <si>
    <r>
      <t>f</t>
    </r>
    <r>
      <rPr>
        <b/>
        <sz val="8"/>
        <color theme="1"/>
        <rFont val="Calibri"/>
        <family val="2"/>
        <scheme val="minor"/>
      </rPr>
      <t>ctm</t>
    </r>
  </si>
  <si>
    <r>
      <t>f</t>
    </r>
    <r>
      <rPr>
        <b/>
        <sz val="8"/>
        <color theme="1"/>
        <rFont val="Calibri"/>
        <family val="2"/>
        <scheme val="minor"/>
      </rPr>
      <t>ctk</t>
    </r>
  </si>
  <si>
    <r>
      <t>f</t>
    </r>
    <r>
      <rPr>
        <b/>
        <sz val="8"/>
        <color theme="1"/>
        <rFont val="Calibri"/>
        <family val="2"/>
        <scheme val="minor"/>
      </rPr>
      <t>ctd</t>
    </r>
  </si>
  <si>
    <r>
      <t>f</t>
    </r>
    <r>
      <rPr>
        <b/>
        <sz val="9"/>
        <color theme="1"/>
        <rFont val="Calibri"/>
        <family val="2"/>
        <scheme val="minor"/>
      </rPr>
      <t>bd</t>
    </r>
  </si>
  <si>
    <r>
      <t>f</t>
    </r>
    <r>
      <rPr>
        <b/>
        <sz val="8"/>
        <color theme="1"/>
        <rFont val="Calibri"/>
        <family val="2"/>
        <scheme val="minor"/>
      </rPr>
      <t>yk</t>
    </r>
  </si>
  <si>
    <r>
      <t>f</t>
    </r>
    <r>
      <rPr>
        <b/>
        <sz val="8"/>
        <color theme="1"/>
        <rFont val="Calibri"/>
        <family val="2"/>
        <scheme val="minor"/>
      </rPr>
      <t>yd</t>
    </r>
  </si>
  <si>
    <r>
      <t>E</t>
    </r>
    <r>
      <rPr>
        <b/>
        <sz val="9"/>
        <color theme="1"/>
        <rFont val="Calibri"/>
        <family val="2"/>
        <scheme val="minor"/>
      </rPr>
      <t>s</t>
    </r>
  </si>
  <si>
    <t>Rapporto di sovraresistenza</t>
  </si>
  <si>
    <t>k</t>
  </si>
  <si>
    <t>Deformazione ultima di calcolo</t>
  </si>
  <si>
    <t xml:space="preserve">Deformazione ultima </t>
  </si>
  <si>
    <t>εuk</t>
  </si>
  <si>
    <r>
      <t>σ</t>
    </r>
    <r>
      <rPr>
        <b/>
        <sz val="8"/>
        <color theme="1"/>
        <rFont val="Calibri"/>
        <family val="2"/>
      </rPr>
      <t>c</t>
    </r>
    <r>
      <rPr>
        <b/>
        <sz val="11"/>
        <color theme="1"/>
        <rFont val="Calibri"/>
        <family val="2"/>
      </rPr>
      <t>(εc)</t>
    </r>
  </si>
  <si>
    <r>
      <t>ε</t>
    </r>
    <r>
      <rPr>
        <b/>
        <sz val="8"/>
        <color theme="1"/>
        <rFont val="Calibri"/>
        <family val="2"/>
        <scheme val="minor"/>
      </rPr>
      <t>G</t>
    </r>
  </si>
  <si>
    <r>
      <t>σ</t>
    </r>
    <r>
      <rPr>
        <b/>
        <sz val="8"/>
        <color theme="1"/>
        <rFont val="Calibri"/>
        <family val="2"/>
        <scheme val="minor"/>
      </rPr>
      <t>G</t>
    </r>
  </si>
  <si>
    <t>Legame costitutivo per calcestruzzo confinato secondo EC2</t>
  </si>
  <si>
    <r>
      <t>α</t>
    </r>
    <r>
      <rPr>
        <sz val="8"/>
        <color theme="1"/>
        <rFont val="Calibri"/>
        <family val="2"/>
      </rPr>
      <t>cc</t>
    </r>
  </si>
  <si>
    <t>Coef. Riduttivo per resitenze di lunga durata</t>
  </si>
  <si>
    <t>Tieni conto del coefficiente riduttivo per resistenze di lunga durata</t>
  </si>
  <si>
    <t>LEGAME COSTITUTIVO DELL'ACCIAIO SECONDO NTC-08</t>
  </si>
  <si>
    <t>1 RESISTENZE DEI MATERIALI</t>
  </si>
  <si>
    <t>2 DEFORMAZIONI LIMITE DEI MATERIALI</t>
  </si>
  <si>
    <t>CARATTERISTICHE DEI MATERIALI</t>
  </si>
  <si>
    <t>εc</t>
  </si>
  <si>
    <t xml:space="preserve">Il foglio di calcolo descrive i legami costitutivi di calcolo del calcestruzzo e dell’acciaio sulla base delle prescrizioni della Normativa Italiana.
– Nella scheda “DATI” si devono definire la classe di resistenza del calcestruzzo, il tipo di acciaio (B450c oppure FeB44k) e le deformazioni ultime dei materiali (di default sono inseriti i valori prescritti dalle NTC08).
– Nella scheda "LEGAME COSTITUTIVO CALCESTRUZZO" si ottiene il legame costitutivo parabola-rettangolo, e in forma tabellare sono riportati i valori dei coefficienti β1 e β2 al variare della deformazione. Oltre al legame costitutivo sono riportate le resistenze del materiale impiegato.
– Nella scheda "LEGAME COSTITUTIVO ACCIAIO" si ottengono i legami nor-mativi: elasto-plastico ed elastico-incrudente. Si riportano anche le resistenze del materiale e le deformazioni ultime.
</t>
  </si>
  <si>
    <t>C30/37</t>
  </si>
  <si>
    <t>Versione 1.2 NTC18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</si>
</sst>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00"/>
    <numFmt numFmtId="165" formatCode="0.0"/>
    <numFmt numFmtId="166" formatCode="0.000%"/>
    <numFmt numFmtId="167" formatCode="0.0E+00"/>
    <numFmt numFmtId="168" formatCode="0.00&quot; ‰&quot;"/>
    <numFmt numFmtId="169" formatCode="0.00&quot; N/mm²&quot;"/>
    <numFmt numFmtId="170" formatCode="0&quot; N/mm²&quot;"/>
    <numFmt numFmtId="171" formatCode="0.0&quot; N/mm²&quot;"/>
    <numFmt numFmtId="172" formatCode="&quot;±&quot;\ 0.00&quot; ‰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132">
    <xf numFmtId="0" fontId="0" fillId="0" borderId="0" xfId="0"/>
    <xf numFmtId="1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2" fontId="0" fillId="0" borderId="0" xfId="0" applyNumberForma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2" fontId="1" fillId="0" borderId="5" xfId="0" applyNumberFormat="1" applyFont="1" applyBorder="1" applyAlignment="1" applyProtection="1">
      <alignment horizontal="center" vertical="center"/>
      <protection hidden="1"/>
    </xf>
    <xf numFmtId="170" fontId="0" fillId="0" borderId="1" xfId="0" applyNumberFormat="1" applyFont="1" applyBorder="1" applyAlignment="1" applyProtection="1">
      <alignment horizontal="center" vertical="center"/>
      <protection hidden="1"/>
    </xf>
    <xf numFmtId="170" fontId="0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169" fontId="0" fillId="0" borderId="1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1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0" fontId="0" fillId="0" borderId="1" xfId="0" applyNumberFormat="1" applyBorder="1" applyAlignment="1" applyProtection="1">
      <alignment horizontal="center" vertical="center"/>
      <protection hidden="1"/>
    </xf>
    <xf numFmtId="171" fontId="0" fillId="0" borderId="1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169" fontId="0" fillId="0" borderId="1" xfId="0" applyNumberFormat="1" applyFont="1" applyBorder="1" applyAlignment="1" applyProtection="1">
      <alignment horizontal="center" vertical="center"/>
    </xf>
    <xf numFmtId="170" fontId="0" fillId="0" borderId="1" xfId="0" applyNumberFormat="1" applyFont="1" applyBorder="1" applyAlignment="1" applyProtection="1">
      <alignment horizontal="center" vertical="center"/>
    </xf>
    <xf numFmtId="168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/>
    <xf numFmtId="0" fontId="0" fillId="0" borderId="0" xfId="0" applyFont="1" applyProtection="1"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Alignment="1"/>
    <xf numFmtId="168" fontId="0" fillId="0" borderId="1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/>
    <xf numFmtId="0" fontId="0" fillId="0" borderId="5" xfId="0" applyFont="1" applyBorder="1" applyAlignment="1" applyProtection="1">
      <alignment horizontal="center" vertical="center"/>
      <protection hidden="1"/>
    </xf>
    <xf numFmtId="2" fontId="0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hidden="1"/>
    </xf>
    <xf numFmtId="169" fontId="0" fillId="0" borderId="1" xfId="0" applyNumberFormat="1" applyFont="1" applyBorder="1" applyAlignment="1" applyProtection="1">
      <alignment horizontal="center" vertical="center"/>
      <protection hidden="1"/>
    </xf>
    <xf numFmtId="168" fontId="4" fillId="0" borderId="1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69" fontId="0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0" fillId="2" borderId="1" xfId="0" applyNumberFormat="1" applyFont="1" applyFill="1" applyBorder="1" applyAlignment="1" applyProtection="1">
      <alignment horizontal="center" vertical="center"/>
    </xf>
    <xf numFmtId="170" fontId="0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168" fontId="0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23" fillId="0" borderId="0" xfId="0" applyFont="1"/>
    <xf numFmtId="168" fontId="0" fillId="0" borderId="7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5" fontId="0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" fontId="0" fillId="0" borderId="1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0" fontId="0" fillId="0" borderId="0" xfId="0" applyNumberForma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8" fontId="0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0" xfId="0" applyFont="1" applyAlignment="1" applyProtection="1">
      <alignment horizontal="right" vertical="center"/>
      <protection hidden="1"/>
    </xf>
    <xf numFmtId="2" fontId="0" fillId="0" borderId="1" xfId="0" applyNumberFormat="1" applyBorder="1" applyAlignment="1">
      <alignment horizontal="center" vertical="center"/>
    </xf>
    <xf numFmtId="166" fontId="0" fillId="0" borderId="1" xfId="0" applyNumberFormat="1" applyFont="1" applyBorder="1" applyAlignment="1" applyProtection="1">
      <alignment horizontal="center" vertical="center"/>
      <protection hidden="1"/>
    </xf>
    <xf numFmtId="167" fontId="0" fillId="0" borderId="1" xfId="0" applyNumberForma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166" fontId="0" fillId="0" borderId="1" xfId="0" applyNumberForma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protection hidden="1"/>
    </xf>
    <xf numFmtId="0" fontId="3" fillId="0" borderId="0" xfId="0" applyFont="1"/>
    <xf numFmtId="172" fontId="4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4" fillId="0" borderId="0" xfId="1" applyAlignment="1" applyProtection="1">
      <alignment horizontal="center"/>
      <protection locked="0"/>
    </xf>
    <xf numFmtId="0" fontId="24" fillId="0" borderId="0" xfId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21" fillId="3" borderId="0" xfId="0" applyFont="1" applyFill="1" applyAlignment="1" applyProtection="1">
      <alignment horizontal="center"/>
      <protection hidden="1"/>
    </xf>
    <xf numFmtId="14" fontId="21" fillId="3" borderId="0" xfId="0" applyNumberFormat="1" applyFont="1" applyFill="1" applyAlignment="1" applyProtection="1">
      <alignment horizontal="center"/>
      <protection hidden="1"/>
    </xf>
    <xf numFmtId="0" fontId="26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hidden="1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" fillId="2" borderId="0" xfId="0" applyFont="1" applyFill="1" applyAlignment="1">
      <alignment horizontal="center"/>
    </xf>
    <xf numFmtId="0" fontId="19" fillId="0" borderId="0" xfId="0" applyFont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19" fillId="0" borderId="13" xfId="0" applyFont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AFA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Legame costitutivo calcestruzzo: Parabola-Rettangolo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47315676449536"/>
          <c:y val="0.20970438541955116"/>
          <c:w val="0.81017609162491033"/>
          <c:h val="0.62479089738163063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'LEGAME COSTITUTIVO CALCESTRUZZO'!$B$6:$B$106</c:f>
              <c:numCache>
                <c:formatCode>0.000%</c:formatCode>
                <c:ptCount val="101"/>
                <c:pt idx="0">
                  <c:v>0</c:v>
                </c:pt>
                <c:pt idx="1">
                  <c:v>-3.5000000000000004E-5</c:v>
                </c:pt>
                <c:pt idx="2">
                  <c:v>-7.0000000000000007E-5</c:v>
                </c:pt>
                <c:pt idx="3">
                  <c:v>-1.05E-4</c:v>
                </c:pt>
                <c:pt idx="4">
                  <c:v>-1.4000000000000001E-4</c:v>
                </c:pt>
                <c:pt idx="5">
                  <c:v>-1.7500000000000003E-4</c:v>
                </c:pt>
                <c:pt idx="6">
                  <c:v>-2.1000000000000001E-4</c:v>
                </c:pt>
                <c:pt idx="7">
                  <c:v>-2.4500000000000005E-4</c:v>
                </c:pt>
                <c:pt idx="8">
                  <c:v>-2.8000000000000003E-4</c:v>
                </c:pt>
                <c:pt idx="9">
                  <c:v>-3.1500000000000001E-4</c:v>
                </c:pt>
                <c:pt idx="10">
                  <c:v>-3.5000000000000005E-4</c:v>
                </c:pt>
                <c:pt idx="11">
                  <c:v>-3.8500000000000003E-4</c:v>
                </c:pt>
                <c:pt idx="12">
                  <c:v>-4.2000000000000002E-4</c:v>
                </c:pt>
                <c:pt idx="13">
                  <c:v>-4.5500000000000006E-4</c:v>
                </c:pt>
                <c:pt idx="14">
                  <c:v>-4.9000000000000009E-4</c:v>
                </c:pt>
                <c:pt idx="15">
                  <c:v>-5.2500000000000008E-4</c:v>
                </c:pt>
                <c:pt idx="16">
                  <c:v>-5.6000000000000006E-4</c:v>
                </c:pt>
                <c:pt idx="17">
                  <c:v>-5.9500000000000004E-4</c:v>
                </c:pt>
                <c:pt idx="18">
                  <c:v>-6.3000000000000003E-4</c:v>
                </c:pt>
                <c:pt idx="19">
                  <c:v>-6.6500000000000012E-4</c:v>
                </c:pt>
                <c:pt idx="20">
                  <c:v>-7.000000000000001E-4</c:v>
                </c:pt>
                <c:pt idx="21">
                  <c:v>-7.3500000000000008E-4</c:v>
                </c:pt>
                <c:pt idx="22">
                  <c:v>-7.7000000000000007E-4</c:v>
                </c:pt>
                <c:pt idx="23">
                  <c:v>-8.0500000000000005E-4</c:v>
                </c:pt>
                <c:pt idx="24">
                  <c:v>-8.4000000000000003E-4</c:v>
                </c:pt>
                <c:pt idx="25">
                  <c:v>-8.7500000000000013E-4</c:v>
                </c:pt>
                <c:pt idx="26">
                  <c:v>-9.1000000000000011E-4</c:v>
                </c:pt>
                <c:pt idx="27">
                  <c:v>-9.4500000000000009E-4</c:v>
                </c:pt>
                <c:pt idx="28">
                  <c:v>-9.8000000000000019E-4</c:v>
                </c:pt>
                <c:pt idx="29">
                  <c:v>-1.0150000000000001E-3</c:v>
                </c:pt>
                <c:pt idx="30">
                  <c:v>-1.0500000000000002E-3</c:v>
                </c:pt>
                <c:pt idx="31">
                  <c:v>-1.085E-3</c:v>
                </c:pt>
                <c:pt idx="32">
                  <c:v>-1.1200000000000001E-3</c:v>
                </c:pt>
                <c:pt idx="33">
                  <c:v>-1.1550000000000002E-3</c:v>
                </c:pt>
                <c:pt idx="34">
                  <c:v>-1.1900000000000001E-3</c:v>
                </c:pt>
                <c:pt idx="35">
                  <c:v>-1.2250000000000002E-3</c:v>
                </c:pt>
                <c:pt idx="36">
                  <c:v>-1.2600000000000001E-3</c:v>
                </c:pt>
                <c:pt idx="37">
                  <c:v>-1.2950000000000001E-3</c:v>
                </c:pt>
                <c:pt idx="38">
                  <c:v>-1.3300000000000002E-3</c:v>
                </c:pt>
                <c:pt idx="39">
                  <c:v>-1.3650000000000001E-3</c:v>
                </c:pt>
                <c:pt idx="40">
                  <c:v>-1.4000000000000002E-3</c:v>
                </c:pt>
                <c:pt idx="41">
                  <c:v>-1.4350000000000001E-3</c:v>
                </c:pt>
                <c:pt idx="42">
                  <c:v>-1.4700000000000002E-3</c:v>
                </c:pt>
                <c:pt idx="43">
                  <c:v>-1.5050000000000003E-3</c:v>
                </c:pt>
                <c:pt idx="44">
                  <c:v>-1.5400000000000001E-3</c:v>
                </c:pt>
                <c:pt idx="45">
                  <c:v>-1.5750000000000002E-3</c:v>
                </c:pt>
                <c:pt idx="46">
                  <c:v>-1.6100000000000001E-3</c:v>
                </c:pt>
                <c:pt idx="47">
                  <c:v>-1.6450000000000002E-3</c:v>
                </c:pt>
                <c:pt idx="48">
                  <c:v>-1.6800000000000001E-3</c:v>
                </c:pt>
                <c:pt idx="49">
                  <c:v>-1.7150000000000002E-3</c:v>
                </c:pt>
                <c:pt idx="50">
                  <c:v>-1.7500000000000003E-3</c:v>
                </c:pt>
                <c:pt idx="51">
                  <c:v>-1.7850000000000001E-3</c:v>
                </c:pt>
                <c:pt idx="52">
                  <c:v>-1.8200000000000002E-3</c:v>
                </c:pt>
                <c:pt idx="53">
                  <c:v>-1.8550000000000001E-3</c:v>
                </c:pt>
                <c:pt idx="54">
                  <c:v>-1.8900000000000002E-3</c:v>
                </c:pt>
                <c:pt idx="55">
                  <c:v>-1.9250000000000003E-3</c:v>
                </c:pt>
                <c:pt idx="56">
                  <c:v>-1.9600000000000004E-3</c:v>
                </c:pt>
                <c:pt idx="57">
                  <c:v>-1.9950000000000002E-3</c:v>
                </c:pt>
                <c:pt idx="58">
                  <c:v>-2.0300000000000001E-3</c:v>
                </c:pt>
                <c:pt idx="59">
                  <c:v>-2.0650000000000004E-3</c:v>
                </c:pt>
                <c:pt idx="60">
                  <c:v>-2.1000000000000003E-3</c:v>
                </c:pt>
                <c:pt idx="61">
                  <c:v>-2.1350000000000002E-3</c:v>
                </c:pt>
                <c:pt idx="62">
                  <c:v>-2.1700000000000001E-3</c:v>
                </c:pt>
                <c:pt idx="63">
                  <c:v>-2.2050000000000004E-3</c:v>
                </c:pt>
                <c:pt idx="64">
                  <c:v>-2.2400000000000002E-3</c:v>
                </c:pt>
                <c:pt idx="65">
                  <c:v>-2.2750000000000001E-3</c:v>
                </c:pt>
                <c:pt idx="66">
                  <c:v>-2.3100000000000004E-3</c:v>
                </c:pt>
                <c:pt idx="67">
                  <c:v>-2.3450000000000003E-3</c:v>
                </c:pt>
                <c:pt idx="68">
                  <c:v>-2.3800000000000002E-3</c:v>
                </c:pt>
                <c:pt idx="69">
                  <c:v>-2.415E-3</c:v>
                </c:pt>
                <c:pt idx="70">
                  <c:v>-2.4500000000000004E-3</c:v>
                </c:pt>
                <c:pt idx="71">
                  <c:v>-2.4850000000000002E-3</c:v>
                </c:pt>
                <c:pt idx="72">
                  <c:v>-2.5200000000000001E-3</c:v>
                </c:pt>
                <c:pt idx="73">
                  <c:v>-2.5550000000000004E-3</c:v>
                </c:pt>
                <c:pt idx="74">
                  <c:v>-2.5900000000000003E-3</c:v>
                </c:pt>
                <c:pt idx="75">
                  <c:v>-2.6250000000000002E-3</c:v>
                </c:pt>
                <c:pt idx="76">
                  <c:v>-2.6600000000000005E-3</c:v>
                </c:pt>
                <c:pt idx="77">
                  <c:v>-2.6950000000000003E-3</c:v>
                </c:pt>
                <c:pt idx="78">
                  <c:v>-2.7300000000000002E-3</c:v>
                </c:pt>
                <c:pt idx="79">
                  <c:v>-2.7650000000000001E-3</c:v>
                </c:pt>
                <c:pt idx="80">
                  <c:v>-2.8000000000000004E-3</c:v>
                </c:pt>
                <c:pt idx="81">
                  <c:v>-2.8350000000000003E-3</c:v>
                </c:pt>
                <c:pt idx="82">
                  <c:v>-2.8700000000000002E-3</c:v>
                </c:pt>
                <c:pt idx="83">
                  <c:v>-2.9050000000000005E-3</c:v>
                </c:pt>
                <c:pt idx="84">
                  <c:v>-2.9400000000000003E-3</c:v>
                </c:pt>
                <c:pt idx="85">
                  <c:v>-2.9750000000000002E-3</c:v>
                </c:pt>
                <c:pt idx="86">
                  <c:v>-3.0100000000000005E-3</c:v>
                </c:pt>
                <c:pt idx="87">
                  <c:v>-3.0450000000000004E-3</c:v>
                </c:pt>
                <c:pt idx="88">
                  <c:v>-3.0800000000000003E-3</c:v>
                </c:pt>
                <c:pt idx="89">
                  <c:v>-3.1150000000000001E-3</c:v>
                </c:pt>
                <c:pt idx="90">
                  <c:v>-3.1500000000000005E-3</c:v>
                </c:pt>
                <c:pt idx="91">
                  <c:v>-3.1850000000000003E-3</c:v>
                </c:pt>
                <c:pt idx="92">
                  <c:v>-3.2200000000000002E-3</c:v>
                </c:pt>
                <c:pt idx="93">
                  <c:v>-3.2550000000000005E-3</c:v>
                </c:pt>
                <c:pt idx="94">
                  <c:v>-3.2900000000000004E-3</c:v>
                </c:pt>
                <c:pt idx="95">
                  <c:v>-3.3250000000000003E-3</c:v>
                </c:pt>
                <c:pt idx="96">
                  <c:v>-3.3600000000000001E-3</c:v>
                </c:pt>
                <c:pt idx="97">
                  <c:v>-3.3950000000000004E-3</c:v>
                </c:pt>
                <c:pt idx="98">
                  <c:v>-3.4300000000000003E-3</c:v>
                </c:pt>
                <c:pt idx="99">
                  <c:v>-3.4650000000000002E-3</c:v>
                </c:pt>
                <c:pt idx="100">
                  <c:v>-3.5000000000000005E-3</c:v>
                </c:pt>
              </c:numCache>
            </c:numRef>
          </c:xVal>
          <c:yVal>
            <c:numRef>
              <c:f>'LEGAME COSTITUTIVO CALCESTRUZZO'!$C$6:$C$106</c:f>
              <c:numCache>
                <c:formatCode>0.00</c:formatCode>
                <c:ptCount val="101"/>
                <c:pt idx="0">
                  <c:v>0</c:v>
                </c:pt>
                <c:pt idx="1">
                  <c:v>-0.67190229166666671</c:v>
                </c:pt>
                <c:pt idx="2">
                  <c:v>-1.3319425</c:v>
                </c:pt>
                <c:pt idx="3">
                  <c:v>-1.9801206249999999</c:v>
                </c:pt>
                <c:pt idx="4">
                  <c:v>-2.6164366666666665</c:v>
                </c:pt>
                <c:pt idx="5">
                  <c:v>-3.240890625</c:v>
                </c:pt>
                <c:pt idx="6">
                  <c:v>-3.8534824999999997</c:v>
                </c:pt>
                <c:pt idx="7">
                  <c:v>-4.4542122916666669</c:v>
                </c:pt>
                <c:pt idx="8">
                  <c:v>-5.0430799999999998</c:v>
                </c:pt>
                <c:pt idx="9">
                  <c:v>-5.6200856249999989</c:v>
                </c:pt>
                <c:pt idx="10">
                  <c:v>-6.1852291666666668</c:v>
                </c:pt>
                <c:pt idx="11">
                  <c:v>-6.7385106249999991</c:v>
                </c:pt>
                <c:pt idx="12">
                  <c:v>-7.2799299999999993</c:v>
                </c:pt>
                <c:pt idx="13">
                  <c:v>-7.8094872916666667</c:v>
                </c:pt>
                <c:pt idx="14">
                  <c:v>-8.327182500000001</c:v>
                </c:pt>
                <c:pt idx="15">
                  <c:v>-8.8330156249999998</c:v>
                </c:pt>
                <c:pt idx="16">
                  <c:v>-9.3269866666666665</c:v>
                </c:pt>
                <c:pt idx="17">
                  <c:v>-9.8090956249999994</c:v>
                </c:pt>
                <c:pt idx="18">
                  <c:v>-10.2793425</c:v>
                </c:pt>
                <c:pt idx="19">
                  <c:v>-10.737727291666667</c:v>
                </c:pt>
                <c:pt idx="20">
                  <c:v>-11.18425</c:v>
                </c:pt>
                <c:pt idx="21">
                  <c:v>-11.618910625</c:v>
                </c:pt>
                <c:pt idx="22">
                  <c:v>-12.041709166666667</c:v>
                </c:pt>
                <c:pt idx="23">
                  <c:v>-12.452645624999999</c:v>
                </c:pt>
                <c:pt idx="24">
                  <c:v>-12.85172</c:v>
                </c:pt>
                <c:pt idx="25">
                  <c:v>-13.238932291666666</c:v>
                </c:pt>
                <c:pt idx="26">
                  <c:v>-13.6142825</c:v>
                </c:pt>
                <c:pt idx="27">
                  <c:v>-13.977770624999998</c:v>
                </c:pt>
                <c:pt idx="28">
                  <c:v>-14.329396666666668</c:v>
                </c:pt>
                <c:pt idx="29">
                  <c:v>-14.669160624999998</c:v>
                </c:pt>
                <c:pt idx="30">
                  <c:v>-14.9970625</c:v>
                </c:pt>
                <c:pt idx="31">
                  <c:v>-15.313102291666665</c:v>
                </c:pt>
                <c:pt idx="32">
                  <c:v>-15.617279999999999</c:v>
                </c:pt>
                <c:pt idx="33">
                  <c:v>-15.909595624999998</c:v>
                </c:pt>
                <c:pt idx="34">
                  <c:v>-16.190049166666665</c:v>
                </c:pt>
                <c:pt idx="35">
                  <c:v>-16.458640625000001</c:v>
                </c:pt>
                <c:pt idx="36">
                  <c:v>-16.71537</c:v>
                </c:pt>
                <c:pt idx="37">
                  <c:v>-16.960237291666665</c:v>
                </c:pt>
                <c:pt idx="38">
                  <c:v>-17.1932425</c:v>
                </c:pt>
                <c:pt idx="39">
                  <c:v>-17.414385624999998</c:v>
                </c:pt>
                <c:pt idx="40">
                  <c:v>-17.623666666666665</c:v>
                </c:pt>
                <c:pt idx="41">
                  <c:v>-17.821085624999998</c:v>
                </c:pt>
                <c:pt idx="42">
                  <c:v>-18.006642499999998</c:v>
                </c:pt>
                <c:pt idx="43">
                  <c:v>-18.180337291666664</c:v>
                </c:pt>
                <c:pt idx="44">
                  <c:v>-18.342169999999999</c:v>
                </c:pt>
                <c:pt idx="45">
                  <c:v>-18.492140624999998</c:v>
                </c:pt>
                <c:pt idx="46">
                  <c:v>-18.630249166666665</c:v>
                </c:pt>
                <c:pt idx="47">
                  <c:v>-18.756495624999999</c:v>
                </c:pt>
                <c:pt idx="48">
                  <c:v>-18.87088</c:v>
                </c:pt>
                <c:pt idx="49">
                  <c:v>-18.973402291666666</c:v>
                </c:pt>
                <c:pt idx="50">
                  <c:v>-19.064062499999999</c:v>
                </c:pt>
                <c:pt idx="51">
                  <c:v>-19.142860624999997</c:v>
                </c:pt>
                <c:pt idx="52">
                  <c:v>-19.209796666666666</c:v>
                </c:pt>
                <c:pt idx="53">
                  <c:v>-19.264870624999997</c:v>
                </c:pt>
                <c:pt idx="54">
                  <c:v>-19.308082499999998</c:v>
                </c:pt>
                <c:pt idx="55">
                  <c:v>-19.339432291666661</c:v>
                </c:pt>
                <c:pt idx="56">
                  <c:v>-19.358919999999998</c:v>
                </c:pt>
                <c:pt idx="57">
                  <c:v>-19.366545624999997</c:v>
                </c:pt>
                <c:pt idx="58">
                  <c:v>-19.366666666666664</c:v>
                </c:pt>
                <c:pt idx="59">
                  <c:v>-19.366666666666664</c:v>
                </c:pt>
                <c:pt idx="60">
                  <c:v>-19.366666666666664</c:v>
                </c:pt>
                <c:pt idx="61">
                  <c:v>-19.366666666666664</c:v>
                </c:pt>
                <c:pt idx="62">
                  <c:v>-19.366666666666664</c:v>
                </c:pt>
                <c:pt idx="63">
                  <c:v>-19.366666666666664</c:v>
                </c:pt>
                <c:pt idx="64">
                  <c:v>-19.366666666666664</c:v>
                </c:pt>
                <c:pt idx="65">
                  <c:v>-19.366666666666664</c:v>
                </c:pt>
                <c:pt idx="66">
                  <c:v>-19.366666666666664</c:v>
                </c:pt>
                <c:pt idx="67">
                  <c:v>-19.366666666666664</c:v>
                </c:pt>
                <c:pt idx="68">
                  <c:v>-19.366666666666664</c:v>
                </c:pt>
                <c:pt idx="69">
                  <c:v>-19.366666666666664</c:v>
                </c:pt>
                <c:pt idx="70">
                  <c:v>-19.366666666666664</c:v>
                </c:pt>
                <c:pt idx="71">
                  <c:v>-19.366666666666664</c:v>
                </c:pt>
                <c:pt idx="72">
                  <c:v>-19.366666666666664</c:v>
                </c:pt>
                <c:pt idx="73">
                  <c:v>-19.366666666666664</c:v>
                </c:pt>
                <c:pt idx="74">
                  <c:v>-19.366666666666664</c:v>
                </c:pt>
                <c:pt idx="75">
                  <c:v>-19.366666666666664</c:v>
                </c:pt>
                <c:pt idx="76">
                  <c:v>-19.366666666666664</c:v>
                </c:pt>
                <c:pt idx="77">
                  <c:v>-19.366666666666664</c:v>
                </c:pt>
                <c:pt idx="78">
                  <c:v>-19.366666666666664</c:v>
                </c:pt>
                <c:pt idx="79">
                  <c:v>-19.366666666666664</c:v>
                </c:pt>
                <c:pt idx="80">
                  <c:v>-19.366666666666664</c:v>
                </c:pt>
                <c:pt idx="81">
                  <c:v>-19.366666666666664</c:v>
                </c:pt>
                <c:pt idx="82">
                  <c:v>-19.366666666666664</c:v>
                </c:pt>
                <c:pt idx="83">
                  <c:v>-19.366666666666664</c:v>
                </c:pt>
                <c:pt idx="84">
                  <c:v>-19.366666666666664</c:v>
                </c:pt>
                <c:pt idx="85">
                  <c:v>-19.366666666666664</c:v>
                </c:pt>
                <c:pt idx="86">
                  <c:v>-19.366666666666664</c:v>
                </c:pt>
                <c:pt idx="87">
                  <c:v>-19.366666666666664</c:v>
                </c:pt>
                <c:pt idx="88">
                  <c:v>-19.366666666666664</c:v>
                </c:pt>
                <c:pt idx="89">
                  <c:v>-19.366666666666664</c:v>
                </c:pt>
                <c:pt idx="90">
                  <c:v>-19.366666666666664</c:v>
                </c:pt>
                <c:pt idx="91">
                  <c:v>-19.366666666666664</c:v>
                </c:pt>
                <c:pt idx="92">
                  <c:v>-19.366666666666664</c:v>
                </c:pt>
                <c:pt idx="93">
                  <c:v>-19.366666666666664</c:v>
                </c:pt>
                <c:pt idx="94">
                  <c:v>-19.366666666666664</c:v>
                </c:pt>
                <c:pt idx="95">
                  <c:v>-19.366666666666664</c:v>
                </c:pt>
                <c:pt idx="96">
                  <c:v>-19.366666666666664</c:v>
                </c:pt>
                <c:pt idx="97">
                  <c:v>-19.366666666666664</c:v>
                </c:pt>
                <c:pt idx="98">
                  <c:v>-19.366666666666664</c:v>
                </c:pt>
                <c:pt idx="99">
                  <c:v>-19.366666666666664</c:v>
                </c:pt>
                <c:pt idx="100">
                  <c:v>-19.366666666666664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EC-4CD2-BCAB-A78F95234CAA}"/>
            </c:ext>
          </c:extLst>
        </c:ser>
        <c:ser>
          <c:idx val="1"/>
          <c:order val="1"/>
          <c:spPr>
            <a:ln w="28575">
              <a:solidFill>
                <a:srgbClr val="002060"/>
              </a:solidFill>
            </a:ln>
          </c:spPr>
          <c:marker>
            <c:spPr>
              <a:solidFill>
                <a:srgbClr val="00B0F0"/>
              </a:solidFill>
              <a:ln w="28575">
                <a:solidFill>
                  <a:srgbClr val="002060"/>
                </a:solidFill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828247F3-C9FC-4930-8F68-0116193769EB}" type="XVALUE">
                      <a:rPr lang="en-US"/>
                      <a:pPr/>
                      <a:t>[VALORE X]</a:t>
                    </a:fld>
                    <a:r>
                      <a:rPr lang="en-US" baseline="0"/>
                      <a:t>; </a:t>
                    </a:r>
                    <a:fld id="{B34E00B8-11BF-44C7-8DDB-498B0FB25FAE}" type="YVALUE">
                      <a:rPr lang="en-US" baseline="0"/>
                      <a:pPr/>
                      <a:t>[VALORE Y]</a:t>
                    </a:fld>
                    <a:r>
                      <a:rPr lang="en-US" baseline="0"/>
                      <a:t> Baricentro del grafico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EC-4CD2-BCAB-A78F95234C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'LEGAME COSTITUTIVO CALCESTRUZZO'!$H$106</c:f>
              <c:numCache>
                <c:formatCode>0.000%</c:formatCode>
                <c:ptCount val="1"/>
                <c:pt idx="0">
                  <c:v>-2.0441176470588243E-3</c:v>
                </c:pt>
              </c:numCache>
            </c:numRef>
          </c:xVal>
          <c:yVal>
            <c:numRef>
              <c:f>'LEGAME COSTITUTIVO CALCESTRUZZO'!$I$106</c:f>
              <c:numCache>
                <c:formatCode>0.00</c:formatCode>
                <c:ptCount val="1"/>
                <c:pt idx="0">
                  <c:v>-8.0558823529411718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EC-4CD2-BCAB-A78F95234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573680"/>
        <c:axId val="670560624"/>
      </c:scatterChart>
      <c:valAx>
        <c:axId val="670573680"/>
        <c:scaling>
          <c:orientation val="maxMin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Deformazione</a:t>
                </a:r>
              </a:p>
            </c:rich>
          </c:tx>
          <c:layout>
            <c:manualLayout>
              <c:xMode val="edge"/>
              <c:yMode val="edge"/>
              <c:x val="0.45464818394706652"/>
              <c:y val="0.92667654543026146"/>
            </c:manualLayout>
          </c:layout>
          <c:overlay val="0"/>
        </c:title>
        <c:numFmt formatCode="0.000%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560624"/>
        <c:crosses val="autoZero"/>
        <c:crossBetween val="midCat"/>
      </c:valAx>
      <c:valAx>
        <c:axId val="670560624"/>
        <c:scaling>
          <c:orientation val="maxMin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Tensione</a:t>
                </a:r>
              </a:p>
            </c:rich>
          </c:tx>
          <c:layout>
            <c:manualLayout>
              <c:xMode val="edge"/>
              <c:yMode val="edge"/>
              <c:x val="1.1566787684473579E-2"/>
              <c:y val="0.45934829840770453"/>
            </c:manualLayout>
          </c:layout>
          <c:overlay val="0"/>
        </c:title>
        <c:numFmt formatCode="0.0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0573680"/>
        <c:crosses val="autoZero"/>
        <c:crossBetween val="midCat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Legame Costitutivo</a:t>
            </a:r>
            <a:r>
              <a:rPr lang="it-IT" baseline="0"/>
              <a:t> dell'acciaio: Elasto-Plastico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'foglio deposito'!$I$21:$I$25</c:f>
              <c:numCache>
                <c:formatCode>0.00" ‰"</c:formatCode>
                <c:ptCount val="5"/>
                <c:pt idx="0">
                  <c:v>-67.5</c:v>
                </c:pt>
                <c:pt idx="1">
                  <c:v>-1.87</c:v>
                </c:pt>
                <c:pt idx="2">
                  <c:v>0</c:v>
                </c:pt>
                <c:pt idx="3">
                  <c:v>1.87</c:v>
                </c:pt>
                <c:pt idx="4">
                  <c:v>67.5</c:v>
                </c:pt>
              </c:numCache>
            </c:numRef>
          </c:xVal>
          <c:yVal>
            <c:numRef>
              <c:f>'foglio deposito'!$J$21:$J$25</c:f>
              <c:numCache>
                <c:formatCode>0.0</c:formatCode>
                <c:ptCount val="5"/>
                <c:pt idx="0">
                  <c:v>-391.304347826087</c:v>
                </c:pt>
                <c:pt idx="1">
                  <c:v>-391.304347826087</c:v>
                </c:pt>
                <c:pt idx="2">
                  <c:v>0</c:v>
                </c:pt>
                <c:pt idx="3">
                  <c:v>391.304347826087</c:v>
                </c:pt>
                <c:pt idx="4">
                  <c:v>391.304347826087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88-404C-B5B1-5794719DF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433232"/>
        <c:axId val="991429968"/>
      </c:scatterChart>
      <c:valAx>
        <c:axId val="99143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‰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29968"/>
        <c:crosses val="autoZero"/>
        <c:crossBetween val="midCat"/>
      </c:valAx>
      <c:valAx>
        <c:axId val="9914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33232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Legame Costitutivo</a:t>
            </a:r>
            <a:r>
              <a:rPr lang="it-IT" baseline="0"/>
              <a:t> dell'acciaio: Elastico-Incrudente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'foglio deposito'!$L$21:$L$25</c:f>
              <c:numCache>
                <c:formatCode>0.00" ‰"</c:formatCode>
                <c:ptCount val="5"/>
                <c:pt idx="0">
                  <c:v>-67.5</c:v>
                </c:pt>
                <c:pt idx="1">
                  <c:v>-1.87</c:v>
                </c:pt>
                <c:pt idx="2">
                  <c:v>0</c:v>
                </c:pt>
                <c:pt idx="3">
                  <c:v>1.87</c:v>
                </c:pt>
                <c:pt idx="4">
                  <c:v>67.5</c:v>
                </c:pt>
              </c:numCache>
            </c:numRef>
          </c:xVal>
          <c:yVal>
            <c:numRef>
              <c:f>'foglio deposito'!$M$21:$M$25</c:f>
              <c:numCache>
                <c:formatCode>0.0</c:formatCode>
                <c:ptCount val="5"/>
                <c:pt idx="0">
                  <c:v>-469.56521739130437</c:v>
                </c:pt>
                <c:pt idx="1">
                  <c:v>-391.304347826087</c:v>
                </c:pt>
                <c:pt idx="2">
                  <c:v>0</c:v>
                </c:pt>
                <c:pt idx="3">
                  <c:v>391.304347826087</c:v>
                </c:pt>
                <c:pt idx="4">
                  <c:v>469.56521739130437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7C-4773-B8B1-167BA070B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433776"/>
        <c:axId val="991432144"/>
      </c:scatterChart>
      <c:valAx>
        <c:axId val="99143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&quot; ‰&quot;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32144"/>
        <c:crosses val="autoZero"/>
        <c:crossBetween val="midCat"/>
      </c:valAx>
      <c:valAx>
        <c:axId val="99143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433776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133350</xdr:rowOff>
    </xdr:from>
    <xdr:to>
      <xdr:col>9</xdr:col>
      <xdr:colOff>523874</xdr:colOff>
      <xdr:row>3</xdr:row>
      <xdr:rowOff>146613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4" y="133350"/>
          <a:ext cx="5381625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4762</xdr:rowOff>
    </xdr:from>
    <xdr:to>
      <xdr:col>16</xdr:col>
      <xdr:colOff>361950</xdr:colOff>
      <xdr:row>20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</xdr:row>
      <xdr:rowOff>57150</xdr:rowOff>
    </xdr:from>
    <xdr:to>
      <xdr:col>11</xdr:col>
      <xdr:colOff>476250</xdr:colOff>
      <xdr:row>20</xdr:row>
      <xdr:rowOff>109538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21</xdr:row>
      <xdr:rowOff>38100</xdr:rowOff>
    </xdr:from>
    <xdr:to>
      <xdr:col>11</xdr:col>
      <xdr:colOff>466725</xdr:colOff>
      <xdr:row>38</xdr:row>
      <xdr:rowOff>109538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la\Documents\6.VARIE%20PER%20LA%20PROFESSIONE\PROGRAMMI%20UTILI\PROGETTO%20TRAVE\PROGETTO%20TRAVE%20PRINCIPALE%20CAP7%20+%20SLE-NTC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tecnico\f\Users\Nicla\Documents\6.VARIE%20PER%20LA%20PROFESSIONE\PROGRAMMI%20UTILI\PROGETTO%20SOLAIO%20BAUSTA\CALCOLO%20SOLAIO%20SLU+S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PROGETTO FLESSIONE E TAGLIO "/>
      <sheetName val="Verifica SLE mezzeria"/>
      <sheetName val="Foglio deposito"/>
      <sheetName val="Foglio1"/>
    </sheetNames>
    <sheetDataSet>
      <sheetData sheetId="0"/>
      <sheetData sheetId="1"/>
      <sheetData sheetId="2"/>
      <sheetData sheetId="3">
        <row r="2">
          <cell r="B2" t="str">
            <v>SI</v>
          </cell>
          <cell r="D2" t="str">
            <v>ordinaria</v>
          </cell>
          <cell r="F2" t="str">
            <v>P,sle carat.</v>
          </cell>
        </row>
        <row r="3">
          <cell r="B3" t="str">
            <v>NO</v>
          </cell>
          <cell r="D3" t="str">
            <v>aggressiva</v>
          </cell>
          <cell r="F3" t="str">
            <v>P,sle freq.</v>
          </cell>
        </row>
        <row r="4">
          <cell r="D4" t="str">
            <v>molto aggressiva</v>
          </cell>
          <cell r="F4" t="str">
            <v>P,sle quas. Perm</v>
          </cell>
        </row>
        <row r="10">
          <cell r="M10" t="str">
            <v>C8/10</v>
          </cell>
          <cell r="P10" t="str">
            <v>Fe B450C</v>
          </cell>
        </row>
        <row r="11">
          <cell r="M11" t="str">
            <v>C12/15</v>
          </cell>
          <cell r="P11" t="str">
            <v>Fe B44k</v>
          </cell>
        </row>
        <row r="12">
          <cell r="M12" t="str">
            <v>C16/20</v>
          </cell>
        </row>
        <row r="13">
          <cell r="M13" t="str">
            <v>C20/25</v>
          </cell>
        </row>
        <row r="14">
          <cell r="M14" t="str">
            <v>C25/30</v>
          </cell>
        </row>
        <row r="15">
          <cell r="M15" t="str">
            <v>C28/35</v>
          </cell>
        </row>
        <row r="16">
          <cell r="M16" t="str">
            <v>C32/40</v>
          </cell>
        </row>
        <row r="17">
          <cell r="M17" t="str">
            <v>C35/45</v>
          </cell>
        </row>
        <row r="18">
          <cell r="M18" t="str">
            <v>C40/50</v>
          </cell>
        </row>
        <row r="141">
          <cell r="E141" t="str">
            <v>σ c,vecchio</v>
          </cell>
          <cell r="F141" t="str">
            <v>σ s,vecchio</v>
          </cell>
        </row>
        <row r="142">
          <cell r="E142" t="str">
            <v>σ c,nuovo</v>
          </cell>
          <cell r="F142" t="str">
            <v>σ s, nuovo</v>
          </cell>
        </row>
      </sheetData>
      <sheetData sheetId="4">
        <row r="4">
          <cell r="K4">
            <v>0</v>
          </cell>
          <cell r="M4">
            <v>0</v>
          </cell>
          <cell r="N4">
            <v>8</v>
          </cell>
        </row>
        <row r="5">
          <cell r="K5">
            <v>14</v>
          </cell>
          <cell r="M5">
            <v>1</v>
          </cell>
          <cell r="N5">
            <v>10</v>
          </cell>
        </row>
        <row r="6">
          <cell r="K6">
            <v>16</v>
          </cell>
          <cell r="M6">
            <v>2</v>
          </cell>
          <cell r="N6">
            <v>12</v>
          </cell>
        </row>
        <row r="7">
          <cell r="K7">
            <v>18</v>
          </cell>
          <cell r="M7">
            <v>3</v>
          </cell>
          <cell r="N7">
            <v>14</v>
          </cell>
        </row>
        <row r="8">
          <cell r="K8">
            <v>20</v>
          </cell>
          <cell r="M8">
            <v>4</v>
          </cell>
          <cell r="N8">
            <v>16</v>
          </cell>
        </row>
        <row r="9">
          <cell r="M9">
            <v>5</v>
          </cell>
          <cell r="N9">
            <v>18</v>
          </cell>
        </row>
        <row r="10">
          <cell r="M10">
            <v>6</v>
          </cell>
        </row>
        <row r="19">
          <cell r="S19" t="str">
            <v>Classe di duttilità alta CD"A"</v>
          </cell>
        </row>
        <row r="20">
          <cell r="S20" t="str">
            <v>Classe di duttilità bassa CD"B"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a e caratt (4)"/>
      <sheetName val="Comb. 1 (4)"/>
      <sheetName val="Comb. 2 (4)"/>
      <sheetName val="Comb. 3 (4)"/>
      <sheetName val="Comb. 4 (4)"/>
      <sheetName val="Comb. 5  (4)"/>
      <sheetName val="Comb. 6 (4)"/>
      <sheetName val="Comb. 7 (4)"/>
      <sheetName val="Comb. 8 (4)"/>
      <sheetName val="Comb. 9 (4)"/>
      <sheetName val="Comb. 10 (4)"/>
      <sheetName val="TABULATI (4)"/>
      <sheetName val="Manuale"/>
      <sheetName val="riepilogo carichi"/>
      <sheetName val="Inviluppo taglio (4)"/>
      <sheetName val="Inviluppo momento (4)"/>
      <sheetName val="DATI NASCOSTI"/>
      <sheetName val="1-Definizione Carichi"/>
      <sheetName val="Definizione Carichi (2)"/>
      <sheetName val="Definizione Carichi (3)"/>
      <sheetName val="logica e caratt (3)"/>
      <sheetName val="Definizione Carichi (4)"/>
      <sheetName val="OUTPUT SOLLECITAZIONE"/>
      <sheetName val="Comb. 1 (3)"/>
      <sheetName val="Comb. 2 (3)"/>
      <sheetName val="Comb. 3 (3)"/>
      <sheetName val="Comb. 4 (3)"/>
      <sheetName val="Comb. 5  (3)"/>
      <sheetName val="Comb. 6 (3)"/>
      <sheetName val="Comb. 7 (3)"/>
      <sheetName val="Comb. 8 (3)"/>
      <sheetName val="Comb. 9 (3)"/>
      <sheetName val="Comb. 10 (3)"/>
      <sheetName val="TABULATI (3)"/>
      <sheetName val="M TRASLATO"/>
      <sheetName val="2-Progetto Solaio"/>
      <sheetName val="INPUT SOLLEC. ARMATURE"/>
      <sheetName val="Diagramma Mrd"/>
      <sheetName val="DATI NASCOSTI ARMATURA"/>
      <sheetName val="OUTPUT PROGETTO SOLAIO"/>
      <sheetName val="Sollecitazioni SLE"/>
      <sheetName val="OUTPUT VERIFICHE SLE"/>
      <sheetName val="Verifiche COMB RARA"/>
      <sheetName val="Verifiche COMB FREQ"/>
      <sheetName val="Verifiche COMB QUAS PERM"/>
      <sheetName val="M TRASLATO (2)"/>
      <sheetName val="M TRASLATO (3)"/>
      <sheetName val="Inviluppo taglio (3)"/>
      <sheetName val="Inviluppo momento (3)"/>
      <sheetName val="logica e caratt (2)"/>
      <sheetName val="Comb. 1 (2)"/>
      <sheetName val="Comb. 2 (2)"/>
      <sheetName val="Comb. 3 (2)"/>
      <sheetName val="Comb. 4 (2)"/>
      <sheetName val="Comb. 5  (2)"/>
      <sheetName val="Comb. 6 (2)"/>
      <sheetName val="Comb. 7 (2)"/>
      <sheetName val="Comb. 8 (2)"/>
      <sheetName val="Comb. 9 (2)"/>
      <sheetName val="Comb. 10 (2)"/>
      <sheetName val="TABULATI (2)"/>
      <sheetName val="Inviluppo taglio (2)"/>
      <sheetName val="Inviluppo momento (2)"/>
      <sheetName val="M TRASLATO (4)"/>
      <sheetName val="logica e caratt"/>
      <sheetName val="Comb. 1"/>
      <sheetName val="Comb. 2"/>
      <sheetName val="Comb. 3"/>
      <sheetName val="Comb. 4"/>
      <sheetName val="Comb. 5 "/>
      <sheetName val="Comb. 6"/>
      <sheetName val="Comb. 7"/>
      <sheetName val="Comb. 8"/>
      <sheetName val="Comb. 9"/>
      <sheetName val="Comb. 10"/>
      <sheetName val="TABULATI"/>
      <sheetName val="Inviluppo taglio"/>
      <sheetName val="Inviluppo mo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5">
          <cell r="B105" t="str">
            <v>si</v>
          </cell>
          <cell r="C105">
            <v>0.2</v>
          </cell>
        </row>
        <row r="106">
          <cell r="C106">
            <v>0.3</v>
          </cell>
        </row>
        <row r="107">
          <cell r="C107">
            <v>0.4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308B5E-3D30-4C85-8D30-72614E56884C}" protected="1">
  <header guid="{83308B5E-3D30-4C85-8D30-72614E56884C}" dateTime="2018-04-20T17:16:45" maxSheetId="6" userName="Utente" r:id="rId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videcicchini.it/" TargetMode="External"/><Relationship Id="rId2" Type="http://schemas.openxmlformats.org/officeDocument/2006/relationships/hyperlink" Target="http://www.davidecicchini.it/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showRowColHeaders="0" tabSelected="1" workbookViewId="0">
      <selection activeCell="H20" sqref="H20:J20"/>
    </sheetView>
  </sheetViews>
  <sheetFormatPr defaultRowHeight="14.4" x14ac:dyDescent="0.3"/>
  <cols>
    <col min="1" max="1" width="2.109375" customWidth="1"/>
  </cols>
  <sheetData>
    <row r="1" spans="1:14" ht="11.25" customHeigh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3">
      <c r="A5" s="19"/>
      <c r="B5" s="109" t="s">
        <v>94</v>
      </c>
      <c r="C5" s="109"/>
      <c r="D5" s="109"/>
      <c r="E5" s="109"/>
      <c r="F5" s="109"/>
      <c r="G5" s="109"/>
      <c r="H5" s="109"/>
      <c r="I5" s="109"/>
      <c r="J5" s="109"/>
      <c r="K5" s="19"/>
      <c r="L5" s="19"/>
      <c r="M5" s="19"/>
      <c r="N5" s="19"/>
    </row>
    <row r="6" spans="1:14" x14ac:dyDescent="0.3">
      <c r="A6" s="19"/>
      <c r="B6" s="109"/>
      <c r="C6" s="109"/>
      <c r="D6" s="109"/>
      <c r="E6" s="109"/>
      <c r="F6" s="109"/>
      <c r="G6" s="109"/>
      <c r="H6" s="109"/>
      <c r="I6" s="109"/>
      <c r="J6" s="109"/>
      <c r="K6" s="19"/>
      <c r="L6" s="19"/>
      <c r="M6" s="19"/>
      <c r="N6" s="19"/>
    </row>
    <row r="7" spans="1:14" x14ac:dyDescent="0.3">
      <c r="A7" s="19"/>
      <c r="B7" s="109"/>
      <c r="C7" s="109"/>
      <c r="D7" s="109"/>
      <c r="E7" s="109"/>
      <c r="F7" s="109"/>
      <c r="G7" s="109"/>
      <c r="H7" s="109"/>
      <c r="I7" s="109"/>
      <c r="J7" s="109"/>
      <c r="K7" s="19"/>
      <c r="L7" s="19"/>
      <c r="M7" s="19"/>
      <c r="N7" s="19"/>
    </row>
    <row r="8" spans="1:14" x14ac:dyDescent="0.3">
      <c r="A8" s="19"/>
      <c r="B8" s="109"/>
      <c r="C8" s="109"/>
      <c r="D8" s="109"/>
      <c r="E8" s="109"/>
      <c r="F8" s="109"/>
      <c r="G8" s="109"/>
      <c r="H8" s="109"/>
      <c r="I8" s="109"/>
      <c r="J8" s="109"/>
      <c r="K8" s="19"/>
      <c r="L8" s="19"/>
      <c r="M8" s="19"/>
      <c r="N8" s="19"/>
    </row>
    <row r="9" spans="1:14" x14ac:dyDescent="0.3">
      <c r="A9" s="19"/>
      <c r="B9" s="109"/>
      <c r="C9" s="109"/>
      <c r="D9" s="109"/>
      <c r="E9" s="109"/>
      <c r="F9" s="109"/>
      <c r="G9" s="109"/>
      <c r="H9" s="109"/>
      <c r="I9" s="109"/>
      <c r="J9" s="109"/>
      <c r="K9" s="19"/>
      <c r="L9" s="19"/>
      <c r="M9" s="19"/>
      <c r="N9" s="19"/>
    </row>
    <row r="10" spans="1:14" x14ac:dyDescent="0.3">
      <c r="A10" s="19"/>
      <c r="B10" s="109"/>
      <c r="C10" s="109"/>
      <c r="D10" s="109"/>
      <c r="E10" s="109"/>
      <c r="F10" s="109"/>
      <c r="G10" s="109"/>
      <c r="H10" s="109"/>
      <c r="I10" s="109"/>
      <c r="J10" s="109"/>
      <c r="K10" s="19"/>
      <c r="L10" s="19"/>
      <c r="M10" s="19"/>
      <c r="N10" s="19"/>
    </row>
    <row r="11" spans="1:14" x14ac:dyDescent="0.3">
      <c r="A11" s="19"/>
      <c r="B11" s="109"/>
      <c r="C11" s="109"/>
      <c r="D11" s="109"/>
      <c r="E11" s="109"/>
      <c r="F11" s="109"/>
      <c r="G11" s="109"/>
      <c r="H11" s="109"/>
      <c r="I11" s="109"/>
      <c r="J11" s="109"/>
      <c r="K11" s="19"/>
      <c r="L11" s="19"/>
      <c r="M11" s="19"/>
      <c r="N11" s="19"/>
    </row>
    <row r="12" spans="1:14" x14ac:dyDescent="0.3">
      <c r="A12" s="19"/>
      <c r="B12" s="109"/>
      <c r="C12" s="109"/>
      <c r="D12" s="109"/>
      <c r="E12" s="109"/>
      <c r="F12" s="109"/>
      <c r="G12" s="109"/>
      <c r="H12" s="109"/>
      <c r="I12" s="109"/>
      <c r="J12" s="109"/>
      <c r="K12" s="19"/>
      <c r="L12" s="19"/>
      <c r="M12" s="19"/>
      <c r="N12" s="19"/>
    </row>
    <row r="13" spans="1:14" x14ac:dyDescent="0.3">
      <c r="A13" s="19"/>
      <c r="B13" s="109"/>
      <c r="C13" s="109"/>
      <c r="D13" s="109"/>
      <c r="E13" s="109"/>
      <c r="F13" s="109"/>
      <c r="G13" s="109"/>
      <c r="H13" s="109"/>
      <c r="I13" s="109"/>
      <c r="J13" s="109"/>
      <c r="K13" s="19"/>
      <c r="L13" s="19"/>
      <c r="M13" s="19"/>
      <c r="N13" s="19"/>
    </row>
    <row r="14" spans="1:14" x14ac:dyDescent="0.3">
      <c r="A14" s="19"/>
      <c r="B14" s="109"/>
      <c r="C14" s="109"/>
      <c r="D14" s="109"/>
      <c r="E14" s="109"/>
      <c r="F14" s="109"/>
      <c r="G14" s="109"/>
      <c r="H14" s="109"/>
      <c r="I14" s="109"/>
      <c r="J14" s="109"/>
      <c r="K14" s="19"/>
      <c r="L14" s="19"/>
      <c r="M14" s="19"/>
      <c r="N14" s="19"/>
    </row>
    <row r="15" spans="1:14" x14ac:dyDescent="0.3">
      <c r="A15" s="19"/>
      <c r="B15" s="109"/>
      <c r="C15" s="109"/>
      <c r="D15" s="109"/>
      <c r="E15" s="109"/>
      <c r="F15" s="109"/>
      <c r="G15" s="109"/>
      <c r="H15" s="109"/>
      <c r="I15" s="109"/>
      <c r="J15" s="109"/>
      <c r="K15" s="19"/>
      <c r="L15" s="19"/>
      <c r="M15" s="19"/>
      <c r="N15" s="19"/>
    </row>
    <row r="16" spans="1:14" x14ac:dyDescent="0.3">
      <c r="A16" s="19"/>
      <c r="B16" s="109"/>
      <c r="C16" s="109"/>
      <c r="D16" s="109"/>
      <c r="E16" s="109"/>
      <c r="F16" s="109"/>
      <c r="G16" s="109"/>
      <c r="H16" s="109"/>
      <c r="I16" s="109"/>
      <c r="J16" s="109"/>
      <c r="K16" s="19"/>
      <c r="L16" s="19"/>
      <c r="M16" s="19"/>
      <c r="N16" s="19"/>
    </row>
    <row r="17" spans="1:14" x14ac:dyDescent="0.3">
      <c r="A17" s="19"/>
      <c r="B17" s="109"/>
      <c r="C17" s="109"/>
      <c r="D17" s="109"/>
      <c r="E17" s="109"/>
      <c r="F17" s="109"/>
      <c r="G17" s="109"/>
      <c r="H17" s="109"/>
      <c r="I17" s="109"/>
      <c r="J17" s="109"/>
      <c r="K17" s="19"/>
      <c r="L17" s="19"/>
      <c r="M17" s="19"/>
      <c r="N17" s="19"/>
    </row>
    <row r="18" spans="1:14" ht="15.6" x14ac:dyDescent="0.3">
      <c r="A18" s="19"/>
      <c r="B18" s="110" t="s">
        <v>96</v>
      </c>
      <c r="C18" s="110"/>
      <c r="D18" s="110"/>
      <c r="E18" s="19"/>
      <c r="F18" s="19"/>
      <c r="G18" s="19"/>
      <c r="K18" s="19"/>
      <c r="L18" s="19"/>
      <c r="M18" s="19"/>
      <c r="N18" s="19"/>
    </row>
    <row r="19" spans="1:14" ht="15.6" x14ac:dyDescent="0.3">
      <c r="A19" s="19"/>
      <c r="B19" s="111">
        <v>43210</v>
      </c>
      <c r="C19" s="110"/>
      <c r="D19" s="110"/>
      <c r="E19" s="19"/>
      <c r="F19" s="19"/>
      <c r="G19" s="19"/>
      <c r="H19" s="106" t="s">
        <v>63</v>
      </c>
      <c r="I19" s="106"/>
      <c r="J19" s="106"/>
      <c r="K19" s="19"/>
      <c r="L19" s="19"/>
      <c r="M19" s="19"/>
      <c r="N19" s="19"/>
    </row>
    <row r="20" spans="1:14" x14ac:dyDescent="0.3">
      <c r="A20" s="19"/>
      <c r="B20" s="108" t="s">
        <v>64</v>
      </c>
      <c r="C20" s="108"/>
      <c r="D20" s="108"/>
      <c r="E20" s="19"/>
      <c r="F20" s="19"/>
      <c r="G20" s="19"/>
      <c r="H20" s="107" t="s">
        <v>64</v>
      </c>
      <c r="I20" s="107"/>
      <c r="J20" s="107"/>
      <c r="K20" s="19"/>
      <c r="L20" s="19"/>
      <c r="M20" s="19"/>
      <c r="N20" s="19"/>
    </row>
    <row r="21" spans="1:14" ht="15.6" x14ac:dyDescent="0.3">
      <c r="A21" s="19"/>
      <c r="B21" s="7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5.6" x14ac:dyDescent="0.3">
      <c r="A22" s="19"/>
      <c r="B22" s="78"/>
      <c r="C22" s="19"/>
      <c r="D22" s="19"/>
      <c r="E22" s="19"/>
      <c r="F22" s="19"/>
      <c r="G22" s="19"/>
      <c r="K22" s="19"/>
      <c r="L22" s="19"/>
      <c r="M22" s="19"/>
      <c r="N22" s="19"/>
    </row>
    <row r="23" spans="1:14" ht="15.6" x14ac:dyDescent="0.3">
      <c r="A23" s="19"/>
      <c r="B23" s="78"/>
      <c r="C23" s="19"/>
      <c r="D23" s="19"/>
      <c r="E23" s="19"/>
      <c r="F23" s="19"/>
      <c r="G23" s="19"/>
      <c r="K23" s="19"/>
      <c r="L23" s="19"/>
      <c r="M23" s="19"/>
      <c r="N23" s="19"/>
    </row>
    <row r="24" spans="1:14" ht="15.6" x14ac:dyDescent="0.3">
      <c r="A24" s="19"/>
      <c r="B24" s="7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5.6" x14ac:dyDescent="0.3">
      <c r="A25" s="19"/>
      <c r="B25" s="7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.6" x14ac:dyDescent="0.3">
      <c r="A26" s="19"/>
      <c r="B26" s="7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5.6" x14ac:dyDescent="0.3">
      <c r="A27" s="19"/>
      <c r="B27" s="7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5.6" x14ac:dyDescent="0.3">
      <c r="A28" s="19"/>
      <c r="B28" s="7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5.6" x14ac:dyDescent="0.3">
      <c r="A29" s="19"/>
      <c r="B29" s="7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5.6" x14ac:dyDescent="0.3">
      <c r="A30" s="19"/>
      <c r="B30" s="7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5.6" x14ac:dyDescent="0.3">
      <c r="B31" s="79"/>
    </row>
  </sheetData>
  <sheetProtection algorithmName="SHA-512" hashValue="50UuT0oy5Xg3LktGkZBlxIQjK74gvX2jvSHCEV+ACZ2+V8n6KqrjmVlGgwKJejNVkFVDvOIK7JOy/tpS6pjaJw==" saltValue="uJzeh01uOmJ/7dbTzH0Rew==" spinCount="100000" sheet="1" selectLockedCells="1"/>
  <customSheetViews>
    <customSheetView guid="{D7B93BBD-52EA-4172-A62E-DCFF75B40052}" showGridLines="0" showRowCol="0">
      <selection activeCell="H20" sqref="H20:J20"/>
      <pageMargins left="0.7" right="0.7" top="0.75" bottom="0.75" header="0.3" footer="0.3"/>
      <pageSetup paperSize="9" orientation="portrait" verticalDpi="0" r:id="rId1"/>
    </customSheetView>
  </customSheetViews>
  <mergeCells count="6">
    <mergeCell ref="H19:J19"/>
    <mergeCell ref="H20:J20"/>
    <mergeCell ref="B20:D20"/>
    <mergeCell ref="B5:J17"/>
    <mergeCell ref="B18:D18"/>
    <mergeCell ref="B19:D19"/>
  </mergeCells>
  <hyperlinks>
    <hyperlink ref="H20" r:id="rId2"/>
    <hyperlink ref="B20" r:id="rId3"/>
  </hyperlinks>
  <pageMargins left="0.7" right="0.7" top="0.75" bottom="0.75" header="0.3" footer="0.3"/>
  <pageSetup paperSize="9" orientation="portrait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5"/>
  <sheetViews>
    <sheetView showGridLines="0" showRowColHeaders="0" zoomScale="90" zoomScaleNormal="90" workbookViewId="0">
      <selection activeCell="F30" sqref="F30"/>
    </sheetView>
  </sheetViews>
  <sheetFormatPr defaultRowHeight="14.4" x14ac:dyDescent="0.3"/>
  <cols>
    <col min="1" max="1" width="3" customWidth="1"/>
    <col min="2" max="3" width="19.33203125" customWidth="1"/>
    <col min="4" max="6" width="17.44140625" customWidth="1"/>
    <col min="8" max="8" width="15.109375" customWidth="1"/>
    <col min="9" max="9" width="10" customWidth="1"/>
    <col min="10" max="10" width="4.88671875" customWidth="1"/>
    <col min="12" max="12" width="10.6640625" customWidth="1"/>
    <col min="13" max="13" width="9.109375" customWidth="1"/>
    <col min="14" max="14" width="4.88671875" customWidth="1"/>
    <col min="16" max="16" width="10.6640625" bestFit="1" customWidth="1"/>
  </cols>
  <sheetData>
    <row r="2" spans="2:23" ht="18" x14ac:dyDescent="0.35">
      <c r="B2" s="112" t="s">
        <v>92</v>
      </c>
      <c r="C2" s="112"/>
      <c r="D2" s="112"/>
      <c r="E2" s="112"/>
      <c r="F2" s="112"/>
    </row>
    <row r="3" spans="2:23" x14ac:dyDescent="0.3">
      <c r="B3" s="19"/>
      <c r="C3" s="19"/>
      <c r="D3" s="19"/>
      <c r="E3" s="19"/>
      <c r="F3" s="19"/>
      <c r="G3" s="19"/>
      <c r="H3" s="19"/>
      <c r="I3" s="19"/>
      <c r="Q3" s="45"/>
      <c r="R3" s="45"/>
      <c r="S3" s="45"/>
      <c r="T3" s="45"/>
      <c r="U3" s="45"/>
      <c r="V3" s="45"/>
      <c r="W3" s="45"/>
    </row>
    <row r="4" spans="2:23" x14ac:dyDescent="0.3">
      <c r="B4" s="113" t="s">
        <v>90</v>
      </c>
      <c r="C4" s="113"/>
      <c r="D4" s="19"/>
      <c r="E4" s="19"/>
      <c r="F4" s="19"/>
      <c r="G4" s="19"/>
      <c r="Q4" s="45"/>
      <c r="R4" s="45"/>
      <c r="S4" s="45"/>
      <c r="T4" s="45"/>
      <c r="U4" s="45"/>
      <c r="V4" s="45"/>
      <c r="W4" s="45"/>
    </row>
    <row r="5" spans="2:23" ht="16.2" thickBot="1" x14ac:dyDescent="0.35">
      <c r="B5" s="28" t="s">
        <v>39</v>
      </c>
      <c r="C5" s="28"/>
      <c r="D5" s="19"/>
      <c r="E5" s="19"/>
      <c r="F5" s="19"/>
      <c r="G5" s="19"/>
      <c r="Q5" s="50"/>
      <c r="R5" s="50"/>
      <c r="S5" s="45"/>
      <c r="T5" s="45"/>
      <c r="U5" s="45"/>
      <c r="V5" s="45"/>
      <c r="W5" s="45"/>
    </row>
    <row r="6" spans="2:23" ht="16.8" thickTop="1" thickBot="1" x14ac:dyDescent="0.35">
      <c r="B6" s="19" t="s">
        <v>40</v>
      </c>
      <c r="C6" s="28"/>
      <c r="D6" s="19"/>
      <c r="E6" s="19"/>
      <c r="F6" s="39" t="s">
        <v>95</v>
      </c>
      <c r="G6" s="19"/>
      <c r="P6" s="50"/>
      <c r="Q6" s="50"/>
      <c r="R6" s="50"/>
      <c r="S6" s="45"/>
      <c r="T6" s="45"/>
      <c r="U6" s="47"/>
      <c r="V6" s="47"/>
      <c r="W6" s="47"/>
    </row>
    <row r="7" spans="2:23" ht="16.8" thickTop="1" thickBot="1" x14ac:dyDescent="0.35">
      <c r="B7" s="19" t="s">
        <v>87</v>
      </c>
      <c r="C7" s="19"/>
      <c r="D7" s="19"/>
      <c r="E7" s="9" t="s">
        <v>86</v>
      </c>
      <c r="F7" s="39">
        <v>0.85</v>
      </c>
      <c r="G7" s="19"/>
      <c r="K7" s="45"/>
      <c r="L7" s="44"/>
      <c r="M7" s="46"/>
      <c r="N7" s="56"/>
      <c r="O7" s="56"/>
      <c r="P7" s="56"/>
      <c r="Q7" s="56"/>
      <c r="R7" s="56"/>
      <c r="S7" s="45"/>
      <c r="T7" s="45"/>
      <c r="U7" s="47"/>
      <c r="V7" s="47"/>
      <c r="W7" s="47"/>
    </row>
    <row r="8" spans="2:23" ht="10.5" customHeight="1" thickTop="1" x14ac:dyDescent="0.3">
      <c r="B8" s="19"/>
      <c r="C8" s="19"/>
      <c r="D8" s="19"/>
      <c r="E8" s="19"/>
      <c r="F8" s="19"/>
      <c r="G8" s="19"/>
      <c r="K8" s="45"/>
      <c r="L8" s="44"/>
      <c r="M8" s="46"/>
      <c r="N8" s="56"/>
      <c r="O8" s="56"/>
      <c r="P8" s="56"/>
      <c r="Q8" s="56"/>
      <c r="R8" s="56"/>
      <c r="S8" s="45"/>
      <c r="T8" s="45"/>
      <c r="U8" s="47"/>
      <c r="V8" s="47"/>
      <c r="W8" s="47"/>
    </row>
    <row r="9" spans="2:23" x14ac:dyDescent="0.3">
      <c r="B9" s="19" t="s">
        <v>29</v>
      </c>
      <c r="C9" s="19"/>
      <c r="D9" s="19"/>
      <c r="E9" s="24" t="s">
        <v>66</v>
      </c>
      <c r="F9" s="36">
        <f>VLOOKUP(F6,'foglio deposito'!B145:C154,2,FALSE)</f>
        <v>35</v>
      </c>
      <c r="G9" s="19"/>
      <c r="P9" s="44"/>
      <c r="Q9" s="44"/>
      <c r="R9" s="45"/>
      <c r="S9" s="45"/>
      <c r="T9" s="45"/>
      <c r="U9" s="45"/>
      <c r="V9" s="45"/>
      <c r="W9" s="45"/>
    </row>
    <row r="10" spans="2:23" x14ac:dyDescent="0.3">
      <c r="B10" s="19" t="s">
        <v>30</v>
      </c>
      <c r="C10" s="19"/>
      <c r="D10" s="19"/>
      <c r="E10" s="24" t="s">
        <v>67</v>
      </c>
      <c r="F10" s="36">
        <f>F11+8</f>
        <v>37.049999999999997</v>
      </c>
      <c r="G10" s="19"/>
      <c r="P10" s="44"/>
      <c r="Q10" s="44"/>
      <c r="R10" s="45"/>
      <c r="S10" s="45"/>
      <c r="T10" s="45"/>
      <c r="U10" s="45"/>
      <c r="V10" s="45"/>
      <c r="W10" s="45"/>
    </row>
    <row r="11" spans="2:23" x14ac:dyDescent="0.3">
      <c r="B11" s="19" t="s">
        <v>31</v>
      </c>
      <c r="C11" s="19"/>
      <c r="D11" s="19"/>
      <c r="E11" s="24" t="s">
        <v>68</v>
      </c>
      <c r="F11" s="36">
        <f>F9*0.83</f>
        <v>29.049999999999997</v>
      </c>
      <c r="G11" s="19"/>
      <c r="I11" s="19"/>
      <c r="P11" s="44"/>
      <c r="Q11" s="44"/>
      <c r="R11" s="45"/>
      <c r="S11" s="45"/>
      <c r="T11" s="45"/>
      <c r="U11" s="45"/>
      <c r="V11" s="45"/>
      <c r="W11" s="45"/>
    </row>
    <row r="12" spans="2:23" x14ac:dyDescent="0.3">
      <c r="B12" s="19" t="s">
        <v>32</v>
      </c>
      <c r="C12" s="19"/>
      <c r="D12" s="19"/>
      <c r="E12" s="24" t="s">
        <v>69</v>
      </c>
      <c r="F12" s="36">
        <f>(0.83*F9)/1.5</f>
        <v>19.366666666666664</v>
      </c>
      <c r="G12" s="19"/>
      <c r="I12" s="19"/>
      <c r="P12" s="44"/>
      <c r="Q12" s="44"/>
      <c r="R12" s="45"/>
      <c r="S12" s="45"/>
      <c r="T12" s="45"/>
      <c r="U12" s="45"/>
      <c r="V12" s="45"/>
      <c r="W12" s="45"/>
    </row>
    <row r="13" spans="2:23" x14ac:dyDescent="0.3">
      <c r="B13" s="19" t="s">
        <v>33</v>
      </c>
      <c r="C13" s="19"/>
      <c r="D13" s="19"/>
      <c r="E13" s="25" t="s">
        <v>70</v>
      </c>
      <c r="F13" s="36">
        <f>0.3*F11^(2/3)</f>
        <v>2.8349931412728426</v>
      </c>
      <c r="G13" s="19"/>
      <c r="H13" s="19"/>
      <c r="I13" s="19"/>
      <c r="P13" s="44"/>
      <c r="Q13" s="44"/>
      <c r="R13" s="45"/>
      <c r="S13" s="45"/>
      <c r="T13" s="45"/>
      <c r="U13" s="45"/>
      <c r="V13" s="45"/>
      <c r="W13" s="45"/>
    </row>
    <row r="14" spans="2:23" x14ac:dyDescent="0.3">
      <c r="B14" s="19" t="s">
        <v>34</v>
      </c>
      <c r="C14" s="19"/>
      <c r="D14" s="19"/>
      <c r="E14" s="24" t="s">
        <v>71</v>
      </c>
      <c r="F14" s="36">
        <f>0.7*F13</f>
        <v>1.9844951988909898</v>
      </c>
      <c r="G14" s="19"/>
      <c r="H14" s="19"/>
      <c r="I14" s="19"/>
      <c r="P14" s="44"/>
      <c r="Q14" s="44"/>
      <c r="R14" s="45"/>
      <c r="S14" s="45"/>
      <c r="T14" s="45"/>
      <c r="U14" s="45"/>
      <c r="V14" s="45"/>
      <c r="W14" s="45"/>
    </row>
    <row r="15" spans="2:23" x14ac:dyDescent="0.3">
      <c r="B15" s="19" t="s">
        <v>35</v>
      </c>
      <c r="C15" s="19"/>
      <c r="D15" s="19"/>
      <c r="E15" s="24" t="s">
        <v>72</v>
      </c>
      <c r="F15" s="36">
        <f>F14/1.5</f>
        <v>1.3229967992606599</v>
      </c>
      <c r="G15" s="19"/>
      <c r="H15" s="19"/>
      <c r="I15" s="19"/>
      <c r="P15" s="44"/>
      <c r="Q15" s="44"/>
      <c r="R15" s="45"/>
      <c r="S15" s="45"/>
      <c r="T15" s="45"/>
      <c r="U15" s="45"/>
      <c r="V15" s="45"/>
      <c r="W15" s="45"/>
    </row>
    <row r="16" spans="2:23" x14ac:dyDescent="0.3">
      <c r="B16" s="19" t="s">
        <v>36</v>
      </c>
      <c r="C16" s="19"/>
      <c r="D16" s="19"/>
      <c r="E16" s="24" t="s">
        <v>73</v>
      </c>
      <c r="F16" s="36">
        <f>(2.25*F14)/1.5</f>
        <v>2.9767427983364847</v>
      </c>
      <c r="G16" s="19"/>
      <c r="H16" s="19"/>
      <c r="I16" s="19"/>
      <c r="P16" s="44"/>
      <c r="Q16" s="44"/>
      <c r="R16" s="45"/>
      <c r="S16" s="45"/>
      <c r="T16" s="45"/>
      <c r="U16" s="45"/>
      <c r="V16" s="45"/>
      <c r="W16" s="45"/>
    </row>
    <row r="17" spans="2:23" x14ac:dyDescent="0.3">
      <c r="B17" s="19" t="s">
        <v>37</v>
      </c>
      <c r="C17" s="19"/>
      <c r="D17" s="19"/>
      <c r="E17" s="24" t="s">
        <v>38</v>
      </c>
      <c r="F17" s="37">
        <f>22000*((0.83*F9+8)/10)^0.3</f>
        <v>32588.107818695287</v>
      </c>
      <c r="G17" s="19"/>
      <c r="H17" s="19"/>
      <c r="I17" s="19"/>
      <c r="P17" s="44"/>
      <c r="Q17" s="44"/>
      <c r="R17" s="45"/>
      <c r="S17" s="45"/>
      <c r="T17" s="45"/>
      <c r="U17" s="45"/>
      <c r="V17" s="45"/>
      <c r="W17" s="45"/>
    </row>
    <row r="18" spans="2:23" x14ac:dyDescent="0.3">
      <c r="B18" s="19"/>
      <c r="C18" s="19"/>
      <c r="D18" s="19"/>
      <c r="E18" s="19"/>
      <c r="F18" s="19"/>
      <c r="G18" s="19"/>
      <c r="H18" s="19"/>
      <c r="I18" s="19"/>
      <c r="P18" s="45"/>
      <c r="Q18" s="45"/>
      <c r="R18" s="45"/>
      <c r="S18" s="45"/>
      <c r="T18" s="45"/>
      <c r="U18" s="45"/>
      <c r="V18" s="45"/>
      <c r="W18" s="45"/>
    </row>
    <row r="19" spans="2:23" ht="15" thickBot="1" x14ac:dyDescent="0.35">
      <c r="B19" s="28" t="s">
        <v>41</v>
      </c>
      <c r="C19" s="19"/>
      <c r="D19" s="19"/>
      <c r="E19" s="19"/>
      <c r="F19" s="19"/>
      <c r="G19" s="19"/>
      <c r="P19" s="45"/>
      <c r="Q19" s="45"/>
      <c r="R19" s="45"/>
      <c r="S19" s="45"/>
      <c r="T19" s="45"/>
      <c r="U19" s="45"/>
      <c r="V19" s="45"/>
      <c r="W19" s="45"/>
    </row>
    <row r="20" spans="2:23" ht="15.6" thickTop="1" thickBot="1" x14ac:dyDescent="0.35">
      <c r="B20" s="19" t="s">
        <v>42</v>
      </c>
      <c r="C20" s="19"/>
      <c r="D20" s="19"/>
      <c r="E20" s="19"/>
      <c r="F20" s="39" t="s">
        <v>19</v>
      </c>
      <c r="G20" s="19"/>
    </row>
    <row r="21" spans="2:23" ht="7.5" customHeight="1" thickTop="1" x14ac:dyDescent="0.3">
      <c r="B21" s="19"/>
      <c r="C21" s="19"/>
      <c r="D21" s="19"/>
      <c r="E21" s="19"/>
      <c r="F21" s="57"/>
      <c r="G21" s="19"/>
    </row>
    <row r="22" spans="2:23" x14ac:dyDescent="0.3">
      <c r="B22" s="19" t="s">
        <v>50</v>
      </c>
      <c r="C22" s="19"/>
      <c r="D22" s="19"/>
      <c r="E22" s="24" t="s">
        <v>51</v>
      </c>
      <c r="F22" s="34">
        <f>(VLOOKUP(F20,'foglio deposito'!J4:L5,3,FALSE))</f>
        <v>540</v>
      </c>
      <c r="G22" s="19"/>
    </row>
    <row r="23" spans="2:23" x14ac:dyDescent="0.3">
      <c r="B23" s="19" t="s">
        <v>49</v>
      </c>
      <c r="C23" s="16"/>
      <c r="D23" s="27"/>
      <c r="E23" s="24" t="s">
        <v>74</v>
      </c>
      <c r="F23" s="34">
        <f>(VLOOKUP(F20,'foglio deposito'!J4:K5,2,FALSE))</f>
        <v>450</v>
      </c>
      <c r="G23" s="19"/>
    </row>
    <row r="24" spans="2:23" x14ac:dyDescent="0.3">
      <c r="B24" s="19" t="s">
        <v>54</v>
      </c>
      <c r="C24" s="19"/>
      <c r="D24" s="19"/>
      <c r="E24" s="24" t="s">
        <v>75</v>
      </c>
      <c r="F24" s="34">
        <f>(VLOOKUP(F20,'foglio deposito'!J4:K5,2,FALSE)/1.15)</f>
        <v>391.304347826087</v>
      </c>
      <c r="G24" s="19"/>
    </row>
    <row r="25" spans="2:23" x14ac:dyDescent="0.3">
      <c r="B25" s="19" t="s">
        <v>37</v>
      </c>
      <c r="C25" s="19"/>
      <c r="D25" s="19"/>
      <c r="E25" s="24" t="s">
        <v>76</v>
      </c>
      <c r="F25" s="26">
        <v>206000</v>
      </c>
      <c r="G25" s="19"/>
    </row>
    <row r="26" spans="2:23" x14ac:dyDescent="0.3">
      <c r="B26" s="19"/>
      <c r="C26" s="16"/>
      <c r="D26" s="27"/>
      <c r="E26" s="19"/>
      <c r="F26" s="19"/>
      <c r="G26" s="19"/>
      <c r="H26" s="19"/>
      <c r="I26" s="19"/>
      <c r="J26" s="19"/>
      <c r="K26" s="19"/>
    </row>
    <row r="27" spans="2:23" x14ac:dyDescent="0.3">
      <c r="B27" s="102" t="s">
        <v>91</v>
      </c>
      <c r="C27" s="20"/>
      <c r="D27" s="19"/>
      <c r="E27" s="19"/>
      <c r="F27" s="19"/>
      <c r="G27" s="19"/>
      <c r="I27" s="19"/>
      <c r="J27" s="19"/>
      <c r="K27" s="19"/>
    </row>
    <row r="28" spans="2:23" x14ac:dyDescent="0.3">
      <c r="B28" s="28" t="s">
        <v>39</v>
      </c>
      <c r="C28" s="19"/>
      <c r="D28" s="19"/>
      <c r="E28" s="9"/>
      <c r="F28" s="35"/>
      <c r="G28" s="19"/>
      <c r="I28" s="19"/>
      <c r="J28" s="19"/>
      <c r="K28" s="19"/>
    </row>
    <row r="29" spans="2:23" ht="6.75" customHeight="1" thickBot="1" x14ac:dyDescent="0.35">
      <c r="B29" s="19"/>
      <c r="C29" s="19"/>
      <c r="D29" s="19"/>
      <c r="E29" s="19"/>
      <c r="F29" s="19"/>
      <c r="G29" s="19"/>
      <c r="I29" s="19"/>
      <c r="J29" s="19"/>
      <c r="K29" s="19"/>
    </row>
    <row r="30" spans="2:23" ht="15.6" thickTop="1" thickBot="1" x14ac:dyDescent="0.35">
      <c r="B30" s="19" t="s">
        <v>43</v>
      </c>
      <c r="C30" s="19"/>
      <c r="D30" s="19"/>
      <c r="E30" s="9" t="s">
        <v>10</v>
      </c>
      <c r="F30" s="80">
        <v>-2</v>
      </c>
      <c r="I30" s="19"/>
      <c r="J30" s="19"/>
    </row>
    <row r="31" spans="2:23" ht="16.8" thickTop="1" thickBot="1" x14ac:dyDescent="0.35">
      <c r="B31" s="19" t="s">
        <v>44</v>
      </c>
      <c r="C31" s="19"/>
      <c r="D31" s="19"/>
      <c r="E31" s="8" t="s">
        <v>9</v>
      </c>
      <c r="F31" s="38">
        <v>-3.5</v>
      </c>
    </row>
    <row r="32" spans="2:23" ht="7.5" customHeight="1" thickTop="1" x14ac:dyDescent="0.3"/>
    <row r="33" spans="2:13" ht="15" thickBot="1" x14ac:dyDescent="0.35">
      <c r="B33" s="28" t="s">
        <v>41</v>
      </c>
      <c r="C33" s="19"/>
      <c r="D33" s="19"/>
      <c r="E33" s="19"/>
      <c r="F33" s="19"/>
      <c r="G33" s="19"/>
    </row>
    <row r="34" spans="2:13" ht="16.8" thickTop="1" thickBot="1" x14ac:dyDescent="0.35">
      <c r="B34" s="19" t="s">
        <v>45</v>
      </c>
      <c r="C34" s="19"/>
      <c r="D34" s="19"/>
      <c r="E34" s="8" t="s">
        <v>8</v>
      </c>
      <c r="F34" s="104">
        <v>1.87</v>
      </c>
      <c r="H34" s="103"/>
      <c r="I34" s="19"/>
      <c r="J34" s="19"/>
      <c r="K34" s="19"/>
    </row>
    <row r="35" spans="2:13" ht="16.8" thickTop="1" thickBot="1" x14ac:dyDescent="0.35">
      <c r="B35" s="19" t="s">
        <v>46</v>
      </c>
      <c r="C35" s="19"/>
      <c r="D35" s="19"/>
      <c r="E35" s="8" t="s">
        <v>12</v>
      </c>
      <c r="F35" s="104">
        <v>67.5</v>
      </c>
      <c r="I35" s="19"/>
      <c r="J35" s="19"/>
      <c r="K35" s="19"/>
    </row>
    <row r="36" spans="2:13" ht="15" thickTop="1" x14ac:dyDescent="0.3"/>
    <row r="38" spans="2:13" x14ac:dyDescent="0.3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2:13" x14ac:dyDescent="0.3">
      <c r="E39" s="19"/>
      <c r="F39" s="19"/>
      <c r="G39" s="19"/>
      <c r="H39" s="19"/>
      <c r="I39" s="19"/>
      <c r="J39" s="19"/>
      <c r="K39" s="19"/>
      <c r="L39" s="19"/>
      <c r="M39" s="19"/>
    </row>
    <row r="40" spans="2:13" x14ac:dyDescent="0.3">
      <c r="E40" s="19"/>
      <c r="F40" s="19"/>
      <c r="G40" s="19"/>
      <c r="H40" s="19"/>
      <c r="I40" s="19"/>
      <c r="J40" s="19"/>
      <c r="K40" s="19"/>
      <c r="L40" s="19"/>
      <c r="M40" s="19"/>
    </row>
    <row r="41" spans="2:13" x14ac:dyDescent="0.3">
      <c r="E41" s="19"/>
      <c r="F41" s="19"/>
      <c r="G41" s="19"/>
      <c r="H41" s="19"/>
      <c r="I41" s="19"/>
      <c r="J41" s="19"/>
      <c r="K41" s="19"/>
      <c r="L41" s="19"/>
      <c r="M41" s="19"/>
    </row>
    <row r="42" spans="2:13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2:13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2:13" x14ac:dyDescent="0.3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2:13" x14ac:dyDescent="0.3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2:13" x14ac:dyDescent="0.3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2:13" x14ac:dyDescent="0.3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2:13" x14ac:dyDescent="0.3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x14ac:dyDescent="0.3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x14ac:dyDescent="0.3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x14ac:dyDescent="0.3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x14ac:dyDescent="0.3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x14ac:dyDescent="0.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x14ac:dyDescent="0.3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2:13" x14ac:dyDescent="0.3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2:13" x14ac:dyDescent="0.3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2:13" x14ac:dyDescent="0.3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2:13" x14ac:dyDescent="0.3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2:13" x14ac:dyDescent="0.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2:13" x14ac:dyDescent="0.3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2:13" x14ac:dyDescent="0.3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2:13" x14ac:dyDescent="0.3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x14ac:dyDescent="0.3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2:13" x14ac:dyDescent="0.3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x14ac:dyDescent="0.3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</sheetData>
  <sheetProtection algorithmName="SHA-512" hashValue="XhElIqkv91djNRscxpVcBQMNBM3Mq5QO4Hq6oC1Leuu7pjQMDu+P0NjA09mNMv4/7LA8CHB4U2iXC2CcExqs8g==" saltValue="LeEpVni/JXA2xOYmk2o1PA==" spinCount="100000" sheet="1" selectLockedCells="1"/>
  <customSheetViews>
    <customSheetView guid="{D7B93BBD-52EA-4172-A62E-DCFF75B40052}" scale="90" showGridLines="0" showRowCol="0">
      <selection activeCell="F30" sqref="F30"/>
      <pageMargins left="0.7" right="0.7" top="0.75" bottom="0.75" header="0.3" footer="0.3"/>
      <pageSetup paperSize="9" orientation="portrait" r:id="rId1"/>
    </customSheetView>
  </customSheetViews>
  <mergeCells count="2">
    <mergeCell ref="B2:F2"/>
    <mergeCell ref="B4:C4"/>
  </mergeCells>
  <conditionalFormatting sqref="O7:O8">
    <cfRule type="cellIs" dxfId="0" priority="1" operator="equal">
      <formula>"verificato"</formula>
    </cfRule>
  </conditionalFormatting>
  <dataValidations count="2">
    <dataValidation type="list" allowBlank="1" showInputMessage="1" showErrorMessage="1" sqref="F20">
      <formula1>fer</formula1>
    </dataValidation>
    <dataValidation type="list" allowBlank="1" showInputMessage="1" showErrorMessage="1" sqref="F6">
      <formula1>clas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107"/>
  <sheetViews>
    <sheetView showGridLines="0" showRowColHeaders="0" topLeftCell="D1" workbookViewId="0">
      <selection activeCell="O41" sqref="O41"/>
    </sheetView>
  </sheetViews>
  <sheetFormatPr defaultRowHeight="14.4" x14ac:dyDescent="0.3"/>
  <cols>
    <col min="1" max="1" width="4.44140625" customWidth="1"/>
    <col min="2" max="9" width="11.109375" customWidth="1"/>
    <col min="10" max="10" width="6.33203125" customWidth="1"/>
    <col min="11" max="11" width="12.6640625" bestFit="1" customWidth="1"/>
    <col min="12" max="12" width="13.5546875" customWidth="1"/>
    <col min="13" max="13" width="20.6640625" customWidth="1"/>
    <col min="14" max="14" width="13.5546875" customWidth="1"/>
    <col min="15" max="15" width="15.109375" customWidth="1"/>
    <col min="16" max="16" width="13.5546875" customWidth="1"/>
    <col min="18" max="19" width="9.6640625" customWidth="1"/>
    <col min="21" max="21" width="13.33203125" bestFit="1" customWidth="1"/>
  </cols>
  <sheetData>
    <row r="2" spans="1:20" ht="15.6" x14ac:dyDescent="0.3">
      <c r="B2" s="125" t="s">
        <v>61</v>
      </c>
      <c r="C2" s="125"/>
      <c r="D2" s="125"/>
      <c r="E2" s="125"/>
      <c r="F2" s="125"/>
      <c r="G2" s="125"/>
      <c r="H2" s="123" t="str">
        <f>IF('foglio deposito'!D33="no","NON CONFINATO (Secondo NTC-18)","CONFINATO (Secondo EC2)")</f>
        <v>NON CONFINATO (Secondo NTC-18)</v>
      </c>
      <c r="I2" s="123"/>
      <c r="J2" s="123"/>
      <c r="K2" s="123"/>
      <c r="O2" s="19"/>
      <c r="P2" s="19"/>
      <c r="Q2" s="19"/>
      <c r="R2" s="19"/>
      <c r="S2" s="19"/>
      <c r="T2" s="19"/>
    </row>
    <row r="3" spans="1:20" ht="9" customHeight="1" x14ac:dyDescent="0.3"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9.75" customHeight="1" x14ac:dyDescent="0.3">
      <c r="B4" s="19"/>
      <c r="C4" s="124"/>
      <c r="D4" s="124"/>
      <c r="E4" s="124"/>
      <c r="F4" s="124"/>
      <c r="G4" s="124"/>
      <c r="H4" s="124"/>
      <c r="I4" s="82"/>
      <c r="J4" s="93"/>
      <c r="K4" s="93"/>
      <c r="L4" s="19"/>
      <c r="M4" s="19"/>
      <c r="N4" s="19"/>
      <c r="O4" s="19"/>
      <c r="P4" s="19"/>
      <c r="Q4" s="19"/>
      <c r="R4" s="19"/>
      <c r="S4" s="19"/>
      <c r="T4" s="19"/>
    </row>
    <row r="5" spans="1:20" ht="21" customHeight="1" x14ac:dyDescent="0.3">
      <c r="A5" s="68"/>
      <c r="B5" s="99" t="s">
        <v>93</v>
      </c>
      <c r="C5" s="100" t="s">
        <v>82</v>
      </c>
      <c r="D5" s="43" t="s">
        <v>59</v>
      </c>
      <c r="E5" s="43" t="s">
        <v>60</v>
      </c>
      <c r="F5" s="43" t="s">
        <v>1</v>
      </c>
      <c r="G5" s="43" t="s">
        <v>0</v>
      </c>
      <c r="H5" s="43" t="s">
        <v>83</v>
      </c>
      <c r="I5" s="43" t="s">
        <v>84</v>
      </c>
      <c r="K5" s="4"/>
      <c r="L5" s="19"/>
      <c r="M5" s="19"/>
      <c r="N5" s="19"/>
      <c r="O5" s="19"/>
      <c r="P5" s="19"/>
      <c r="Q5" s="19"/>
      <c r="R5" s="19"/>
      <c r="S5" s="19"/>
      <c r="T5" s="19"/>
    </row>
    <row r="6" spans="1:20" x14ac:dyDescent="0.3">
      <c r="A6" s="81"/>
      <c r="B6" s="96">
        <f>'foglio deposito'!$L$34/'foglio deposito'!$B$141*'foglio deposito'!B41</f>
        <v>0</v>
      </c>
      <c r="C6" s="30">
        <f>IF(B6&gt;'foglio deposito'!$L$33,2*'foglio deposito'!$F$22/'foglio deposito'!$L$33*(B6-B6^2/(2*'foglio deposito'!$L$33)),'foglio deposito'!$F$22)</f>
        <v>0</v>
      </c>
      <c r="D6" s="97">
        <f>IF(B6&gt;'foglio deposito'!$F$29,2*'foglio deposito'!$D$30/(-'foglio deposito'!$F$29)*(B6^2/2-(-B6)^3/(-6*'foglio deposito'!$F$29)),2*'foglio deposito'!$D$30/(-'foglio deposito'!$F$29)*('foglio deposito'!$F$29^2/2-(-'foglio deposito'!$F$29)^3/(-6*'foglio deposito'!$F$29))+'foglio deposito'!$D$30*(ABS(B6)-ABS('foglio deposito'!$F$29)))</f>
        <v>0</v>
      </c>
      <c r="E6" s="97">
        <f>IF(ABS(B6)&lt;ABS('foglio deposito'!$F$29),-2*'foglio deposito'!$D$30/(-'foglio deposito'!$F$29)*(-B6^3/3-(B6)^4/(-8*'foglio deposito'!$F$29)),-(2*'foglio deposito'!$D$30/(-'foglio deposito'!$F$29)*(ABS('foglio deposito'!$F$29)^3/3-ABS('foglio deposito'!$F$29)^4/(-8*'foglio deposito'!$F$29))+'foglio deposito'!$D$30/2*(ABS(B6)^2-ABS('foglio deposito'!$F$29)^2)))</f>
        <v>0</v>
      </c>
      <c r="F6" s="98">
        <f>D6/('foglio deposito'!$F$22*'foglio deposito'!$L$34)</f>
        <v>0</v>
      </c>
      <c r="G6" s="98">
        <v>0</v>
      </c>
      <c r="H6" s="101">
        <v>0</v>
      </c>
      <c r="I6" s="30">
        <f>C6*G6</f>
        <v>0</v>
      </c>
      <c r="J6" s="90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x14ac:dyDescent="0.3">
      <c r="B7" s="96">
        <f>'foglio deposito'!$L$34/'foglio deposito'!$B$141*'foglio deposito'!B42</f>
        <v>-3.5000000000000004E-5</v>
      </c>
      <c r="C7" s="30">
        <f>IF(B7&gt;'foglio deposito'!$L$33,2*'foglio deposito'!$F$22/'foglio deposito'!$L$33*(B7-B7^2/(2*'foglio deposito'!$L$33)),'foglio deposito'!$F$22)</f>
        <v>-0.67190229166666671</v>
      </c>
      <c r="D7" s="97">
        <f>IF(B7&gt;'foglio deposito'!$F$29,2*'foglio deposito'!$D$30/(-'foglio deposito'!$F$29)*(B7^2/2-(-B7)^3/(-6*'foglio deposito'!$F$29)),2*'foglio deposito'!$D$30/(-'foglio deposito'!$F$29)*('foglio deposito'!$F$29^2/2-(-'foglio deposito'!$F$29)^3/(-6*'foglio deposito'!$F$29))+'foglio deposito'!$D$30*(ABS(B7)-ABS('foglio deposito'!$F$29)))</f>
        <v>1.1792887847222223E-5</v>
      </c>
      <c r="E7" s="97">
        <f>IF(ABS(B7)&lt;ABS('foglio deposito'!$F$29),-2*'foglio deposito'!$D$30/(-'foglio deposito'!$F$29)*(-B7^3/3-(B7)^4/(-8*'foglio deposito'!$F$29)),-(2*'foglio deposito'!$D$30/(-'foglio deposito'!$F$29)*(ABS('foglio deposito'!$F$29)^3/3-ABS('foglio deposito'!$F$29)^4/(-8*'foglio deposito'!$F$29))+'foglio deposito'!$D$30/2*(ABS(B7)^2-ABS('foglio deposito'!$F$29)^2)))</f>
        <v>-2.7496556293402783E-10</v>
      </c>
      <c r="F7" s="98">
        <f>D7/('foglio deposito'!$F$22*'foglio deposito'!$L$34)</f>
        <v>1.7397916666666671E-4</v>
      </c>
      <c r="G7" s="98">
        <f t="shared" ref="G7:G38" si="0">1-(E7/D7)/B7</f>
        <v>0.33382229673093045</v>
      </c>
      <c r="H7" s="101">
        <f t="shared" ref="H7:H38" si="1">E7/D7</f>
        <v>-2.3316219614417436E-5</v>
      </c>
      <c r="I7" s="30">
        <f t="shared" ref="I7:I70" si="2">C7*G7</f>
        <v>-0.22429596618294217</v>
      </c>
      <c r="J7" s="90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x14ac:dyDescent="0.3">
      <c r="B8" s="96">
        <f>'foglio deposito'!$L$34/'foglio deposito'!$B$141*'foglio deposito'!B43</f>
        <v>-7.0000000000000007E-5</v>
      </c>
      <c r="C8" s="30">
        <f>IF(B8&gt;'foglio deposito'!$L$33,2*'foglio deposito'!$F$22/'foglio deposito'!$L$33*(B8-B8^2/(2*'foglio deposito'!$L$33)),'foglio deposito'!$F$22)</f>
        <v>-1.3319425</v>
      </c>
      <c r="D8" s="97">
        <f>IF(B8&gt;'foglio deposito'!$F$29,2*'foglio deposito'!$D$30/(-'foglio deposito'!$F$29)*(B8^2/2-(-B8)^3/(-6*'foglio deposito'!$F$29)),2*'foglio deposito'!$D$30/(-'foglio deposito'!$F$29)*('foglio deposito'!$F$29^2/2-(-'foglio deposito'!$F$29)^3/(-6*'foglio deposito'!$F$29))+'foglio deposito'!$D$30*(ABS(B8)-ABS('foglio deposito'!$F$29)))</f>
        <v>4.6894769444444448E-5</v>
      </c>
      <c r="E8" s="97">
        <f>IF(ABS(B8)&lt;ABS('foglio deposito'!$F$29),-2*'foglio deposito'!$D$30/(-'foglio deposito'!$F$29)*(-B8^3/3-(B8)^4/(-8*'foglio deposito'!$F$29)),-(2*'foglio deposito'!$D$30/(-'foglio deposito'!$F$29)*(ABS('foglio deposito'!$F$29)^3/3-ABS('foglio deposito'!$F$29)^4/(-8*'foglio deposito'!$F$29))+'foglio deposito'!$D$30/2*(ABS(B8)^2-ABS('foglio deposito'!$F$29)^2)))</f>
        <v>-2.1851934513888894E-9</v>
      </c>
      <c r="F8" s="98">
        <f>D8/('foglio deposito'!$F$22*'foglio deposito'!$L$34)</f>
        <v>6.9183333333333347E-4</v>
      </c>
      <c r="G8" s="98">
        <f t="shared" si="0"/>
        <v>0.33431703204047214</v>
      </c>
      <c r="H8" s="101">
        <f t="shared" si="1"/>
        <v>-4.6597807757166955E-5</v>
      </c>
      <c r="I8" s="30">
        <f t="shared" si="2"/>
        <v>-0.44529106344856656</v>
      </c>
      <c r="J8" s="90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x14ac:dyDescent="0.3">
      <c r="B9" s="96">
        <f>'foglio deposito'!$L$34/'foglio deposito'!$B$141*'foglio deposito'!B44</f>
        <v>-1.05E-4</v>
      </c>
      <c r="C9" s="30">
        <f>IF(B9&gt;'foglio deposito'!$L$33,2*'foglio deposito'!$F$22/'foglio deposito'!$L$33*(B9-B9^2/(2*'foglio deposito'!$L$33)),'foglio deposito'!$F$22)</f>
        <v>-1.9801206249999999</v>
      </c>
      <c r="D9" s="97">
        <f>IF(B9&gt;'foglio deposito'!$F$29,2*'foglio deposito'!$D$30/(-'foglio deposito'!$F$29)*(B9^2/2-(-B9)^3/(-6*'foglio deposito'!$F$29)),2*'foglio deposito'!$D$30/(-'foglio deposito'!$F$29)*('foglio deposito'!$F$29^2/2-(-'foglio deposito'!$F$29)^3/(-6*'foglio deposito'!$F$29))+'foglio deposito'!$D$30*(ABS(B9)-ABS('foglio deposito'!$F$29)))</f>
        <v>1.0489047187499999E-4</v>
      </c>
      <c r="E9" s="97">
        <f>IF(ABS(B9)&lt;ABS('foglio deposito'!$F$29),-2*'foglio deposito'!$D$30/(-'foglio deposito'!$F$29)*(-B9^3/3-(B9)^4/(-8*'foglio deposito'!$F$29)),-(2*'foglio deposito'!$D$30/(-'foglio deposito'!$F$29)*(ABS('foglio deposito'!$F$29)^3/3-ABS('foglio deposito'!$F$29)^4/(-8*'foglio deposito'!$F$29))+'foglio deposito'!$D$30/2*(ABS(B9)^2-ABS('foglio deposito'!$F$29)^2)))</f>
        <v>-7.32598559765625E-9</v>
      </c>
      <c r="F9" s="98">
        <f>D9/('foglio deposito'!$F$22*'foglio deposito'!$L$34)</f>
        <v>1.5474375000000002E-3</v>
      </c>
      <c r="G9" s="98">
        <f t="shared" si="0"/>
        <v>0.33481764206955045</v>
      </c>
      <c r="H9" s="101">
        <f t="shared" si="1"/>
        <v>-6.9844147582697207E-5</v>
      </c>
      <c r="I9" s="30">
        <f t="shared" si="2"/>
        <v>-0.66297931867578452</v>
      </c>
      <c r="J9" s="90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5.75" customHeight="1" x14ac:dyDescent="0.3">
      <c r="B10" s="96">
        <f>'foglio deposito'!$L$34/'foglio deposito'!$B$141*'foglio deposito'!B45</f>
        <v>-1.4000000000000001E-4</v>
      </c>
      <c r="C10" s="30">
        <f>IF(B10&gt;'foglio deposito'!$L$33,2*'foglio deposito'!$F$22/'foglio deposito'!$L$33*(B10-B10^2/(2*'foglio deposito'!$L$33)),'foglio deposito'!$F$22)</f>
        <v>-2.6164366666666665</v>
      </c>
      <c r="D10" s="97">
        <f>IF(B10&gt;'foglio deposito'!$F$29,2*'foglio deposito'!$D$30/(-'foglio deposito'!$F$29)*(B10^2/2-(-B10)^3/(-6*'foglio deposito'!$F$29)),2*'foglio deposito'!$D$30/(-'foglio deposito'!$F$29)*('foglio deposito'!$F$29^2/2-(-'foglio deposito'!$F$29)^3/(-6*'foglio deposito'!$F$29))+'foglio deposito'!$D$30*(ABS(B10)-ABS('foglio deposito'!$F$29)))</f>
        <v>1.8536482222222223E-4</v>
      </c>
      <c r="E10" s="97">
        <f>IF(ABS(B10)&lt;ABS('foglio deposito'!$F$29),-2*'foglio deposito'!$D$30/(-'foglio deposito'!$F$29)*(-B10^3/3-(B10)^4/(-8*'foglio deposito'!$F$29)),-(2*'foglio deposito'!$D$30/(-'foglio deposito'!$F$29)*(ABS('foglio deposito'!$F$29)^3/3-ABS('foglio deposito'!$F$29)^4/(-8*'foglio deposito'!$F$29))+'foglio deposito'!$D$30/2*(ABS(B10)^2-ABS('foglio deposito'!$F$29)^2)))</f>
        <v>-1.724905077777778E-8</v>
      </c>
      <c r="F10" s="98">
        <f>D10/('foglio deposito'!$F$22*'foglio deposito'!$L$34)</f>
        <v>2.7346666666666674E-3</v>
      </c>
      <c r="G10" s="98">
        <f t="shared" si="0"/>
        <v>0.33532423208191131</v>
      </c>
      <c r="H10" s="101">
        <f t="shared" si="1"/>
        <v>-9.3054607508532433E-5</v>
      </c>
      <c r="I10" s="30">
        <f t="shared" si="2"/>
        <v>-0.87735461604095566</v>
      </c>
      <c r="J10" s="90"/>
      <c r="K10" s="19"/>
      <c r="L10" s="19"/>
      <c r="M10" s="19"/>
      <c r="N10" s="19"/>
      <c r="O10" s="19"/>
      <c r="P10" s="19"/>
      <c r="Q10" s="19"/>
    </row>
    <row r="11" spans="1:20" ht="15.75" customHeight="1" x14ac:dyDescent="0.3">
      <c r="B11" s="96">
        <f>'foglio deposito'!$L$34/'foglio deposito'!$B$141*'foglio deposito'!B46</f>
        <v>-1.7500000000000003E-4</v>
      </c>
      <c r="C11" s="30">
        <f>IF(B11&gt;'foglio deposito'!$L$33,2*'foglio deposito'!$F$22/'foglio deposito'!$L$33*(B11-B11^2/(2*'foglio deposito'!$L$33)),'foglio deposito'!$F$22)</f>
        <v>-3.240890625</v>
      </c>
      <c r="D11" s="97">
        <f>IF(B11&gt;'foglio deposito'!$F$29,2*'foglio deposito'!$D$30/(-'foglio deposito'!$F$29)*(B11^2/2-(-B11)^3/(-6*'foglio deposito'!$F$29)),2*'foglio deposito'!$D$30/(-'foglio deposito'!$F$29)*('foglio deposito'!$F$29^2/2-(-'foglio deposito'!$F$29)^3/(-6*'foglio deposito'!$F$29))+'foglio deposito'!$D$30*(ABS(B11)-ABS('foglio deposito'!$F$29)))</f>
        <v>2.879026475694445E-4</v>
      </c>
      <c r="E11" s="97">
        <f>IF(ABS(B11)&lt;ABS('foglio deposito'!$F$29),-2*'foglio deposito'!$D$30/(-'foglio deposito'!$F$29)*(-B11^3/3-(B11)^4/(-8*'foglio deposito'!$F$29)),-(2*'foglio deposito'!$D$30/(-'foglio deposito'!$F$29)*(ABS('foglio deposito'!$F$29)^3/3-ABS('foglio deposito'!$F$29)^4/(-8*'foglio deposito'!$F$29))+'foglio deposito'!$D$30/2*(ABS(B11)^2-ABS('foglio deposito'!$F$29)^2)))</f>
        <v>-3.3462504611545149E-8</v>
      </c>
      <c r="F11" s="98">
        <f>D11/('foglio deposito'!$F$22*'foglio deposito'!$L$34)</f>
        <v>4.2473958333333348E-3</v>
      </c>
      <c r="G11" s="98">
        <f t="shared" si="0"/>
        <v>0.33583690987124459</v>
      </c>
      <c r="H11" s="101">
        <f t="shared" si="1"/>
        <v>-1.1622854077253221E-4</v>
      </c>
      <c r="I11" s="30">
        <f t="shared" si="2"/>
        <v>-1.0884106927306865</v>
      </c>
      <c r="J11" s="90"/>
      <c r="K11" s="19"/>
      <c r="L11" s="19"/>
      <c r="M11" s="19"/>
      <c r="N11" s="19"/>
      <c r="O11" s="19"/>
      <c r="P11" s="19"/>
      <c r="Q11" s="19"/>
    </row>
    <row r="12" spans="1:20" x14ac:dyDescent="0.3">
      <c r="B12" s="96">
        <f>'foglio deposito'!$L$34/'foglio deposito'!$B$141*'foglio deposito'!B47</f>
        <v>-2.1000000000000001E-4</v>
      </c>
      <c r="C12" s="30">
        <f>IF(B12&gt;'foglio deposito'!$L$33,2*'foglio deposito'!$F$22/'foglio deposito'!$L$33*(B12-B12^2/(2*'foglio deposito'!$L$33)),'foglio deposito'!$F$22)</f>
        <v>-3.8534824999999997</v>
      </c>
      <c r="D12" s="97">
        <f>IF(B12&gt;'foglio deposito'!$F$29,2*'foglio deposito'!$D$30/(-'foglio deposito'!$F$29)*(B12^2/2-(-B12)^3/(-6*'foglio deposito'!$F$29)),2*'foglio deposito'!$D$30/(-'foglio deposito'!$F$29)*('foglio deposito'!$F$29^2/2-(-'foglio deposito'!$F$29)^3/(-6*'foglio deposito'!$F$29))+'foglio deposito'!$D$30*(ABS(B12)-ABS('foglio deposito'!$F$29)))</f>
        <v>4.1208877499999995E-4</v>
      </c>
      <c r="E12" s="97">
        <f>IF(ABS(B12)&lt;ABS('foglio deposito'!$F$29),-2*'foglio deposito'!$D$30/(-'foglio deposito'!$F$29)*(-B12^3/3-(B12)^4/(-8*'foglio deposito'!$F$29)),-(2*'foglio deposito'!$D$30/(-'foglio deposito'!$F$29)*(ABS('foglio deposito'!$F$29)^3/3-ABS('foglio deposito'!$F$29)^4/(-8*'foglio deposito'!$F$29))+'foglio deposito'!$D$30/2*(ABS(B12)^2-ABS('foglio deposito'!$F$29)^2)))</f>
        <v>-5.7430869562500003E-8</v>
      </c>
      <c r="F12" s="98">
        <f>D12/('foglio deposito'!$F$22*'foglio deposito'!$L$34)</f>
        <v>6.0795000000000007E-3</v>
      </c>
      <c r="G12" s="98">
        <f t="shared" si="0"/>
        <v>0.33635578583765113</v>
      </c>
      <c r="H12" s="101">
        <f t="shared" si="1"/>
        <v>-1.3936528497409328E-4</v>
      </c>
      <c r="I12" s="30">
        <f t="shared" si="2"/>
        <v>-1.2961411344991365</v>
      </c>
      <c r="J12" s="90"/>
      <c r="K12" s="19"/>
      <c r="L12" s="19"/>
      <c r="M12" s="19"/>
      <c r="N12" s="19"/>
      <c r="O12" s="19"/>
      <c r="P12" s="19"/>
      <c r="Q12" s="19"/>
    </row>
    <row r="13" spans="1:20" x14ac:dyDescent="0.3">
      <c r="B13" s="96">
        <f>'foglio deposito'!$L$34/'foglio deposito'!$B$141*'foglio deposito'!B48</f>
        <v>-2.4500000000000005E-4</v>
      </c>
      <c r="C13" s="30">
        <f>IF(B13&gt;'foglio deposito'!$L$33,2*'foglio deposito'!$F$22/'foglio deposito'!$L$33*(B13-B13^2/(2*'foglio deposito'!$L$33)),'foglio deposito'!$F$22)</f>
        <v>-4.4542122916666669</v>
      </c>
      <c r="D13" s="97">
        <f>IF(B13&gt;'foglio deposito'!$F$29,2*'foglio deposito'!$D$30/(-'foglio deposito'!$F$29)*(B13^2/2-(-B13)^3/(-6*'foglio deposito'!$F$29)),2*'foglio deposito'!$D$30/(-'foglio deposito'!$F$29)*('foglio deposito'!$F$29^2/2-(-'foglio deposito'!$F$29)^3/(-6*'foglio deposito'!$F$29))+'foglio deposito'!$D$30*(ABS(B13)-ABS('foglio deposito'!$F$29)))</f>
        <v>5.5750803159722241E-4</v>
      </c>
      <c r="E13" s="97">
        <f>IF(ABS(B13)&lt;ABS('foglio deposito'!$F$29),-2*'foglio deposito'!$D$30/(-'foglio deposito'!$F$29)*(-B13^3/3-(B13)^4/(-8*'foglio deposito'!$F$29)),-(2*'foglio deposito'!$D$30/(-'foglio deposito'!$F$29)*(ABS('foglio deposito'!$F$29)^3/3-ABS('foglio deposito'!$F$29)^4/(-8*'foglio deposito'!$F$29))+'foglio deposito'!$D$30/2*(ABS(B13)^2-ABS('foglio deposito'!$F$29)^2)))</f>
        <v>-9.0575074937934067E-8</v>
      </c>
      <c r="F13" s="98">
        <f>D13/('foglio deposito'!$F$22*'foglio deposito'!$L$34)</f>
        <v>8.2248541666666702E-3</v>
      </c>
      <c r="G13" s="98">
        <f t="shared" si="0"/>
        <v>0.33688097306689835</v>
      </c>
      <c r="H13" s="101">
        <f t="shared" si="1"/>
        <v>-1.6246416159860992E-4</v>
      </c>
      <c r="I13" s="30">
        <f t="shared" si="2"/>
        <v>-1.500539371063206</v>
      </c>
      <c r="J13" s="90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x14ac:dyDescent="0.3">
      <c r="B14" s="96">
        <f>'foglio deposito'!$L$34/'foglio deposito'!$B$141*'foglio deposito'!B49</f>
        <v>-2.8000000000000003E-4</v>
      </c>
      <c r="C14" s="30">
        <f>IF(B14&gt;'foglio deposito'!$L$33,2*'foglio deposito'!$F$22/'foglio deposito'!$L$33*(B14-B14^2/(2*'foglio deposito'!$L$33)),'foglio deposito'!$F$22)</f>
        <v>-5.0430799999999998</v>
      </c>
      <c r="D14" s="97">
        <f>IF(B14&gt;'foglio deposito'!$F$29,2*'foglio deposito'!$D$30/(-'foglio deposito'!$F$29)*(B14^2/2-(-B14)^3/(-6*'foglio deposito'!$F$29)),2*'foglio deposito'!$D$30/(-'foglio deposito'!$F$29)*('foglio deposito'!$F$29^2/2-(-'foglio deposito'!$F$29)^3/(-6*'foglio deposito'!$F$29))+'foglio deposito'!$D$30*(ABS(B14)-ABS('foglio deposito'!$F$29)))</f>
        <v>7.2374524444444453E-4</v>
      </c>
      <c r="E14" s="97">
        <f>IF(ABS(B14)&lt;ABS('foglio deposito'!$F$29),-2*'foglio deposito'!$D$30/(-'foglio deposito'!$F$29)*(-B14^3/3-(B14)^4/(-8*'foglio deposito'!$F$29)),-(2*'foglio deposito'!$D$30/(-'foglio deposito'!$F$29)*(ABS('foglio deposito'!$F$29)^3/3-ABS('foglio deposito'!$F$29)^4/(-8*'foglio deposito'!$F$29))+'foglio deposito'!$D$30/2*(ABS(B14)^2-ABS('foglio deposito'!$F$29)^2)))</f>
        <v>-1.3427245688888891E-7</v>
      </c>
      <c r="F14" s="98">
        <f>D14/('foglio deposito'!$F$22*'foglio deposito'!$L$34)</f>
        <v>1.0677333333333337E-2</v>
      </c>
      <c r="G14" s="98">
        <f t="shared" si="0"/>
        <v>0.33741258741258751</v>
      </c>
      <c r="H14" s="101">
        <f t="shared" si="1"/>
        <v>-1.8552447552447552E-4</v>
      </c>
      <c r="I14" s="30">
        <f t="shared" si="2"/>
        <v>-1.7015986713286717</v>
      </c>
      <c r="J14" s="90"/>
      <c r="K14" s="19"/>
      <c r="L14" s="19"/>
      <c r="M14" s="19"/>
      <c r="N14" s="19"/>
      <c r="O14" s="19"/>
      <c r="P14" s="19"/>
      <c r="Q14" s="19"/>
    </row>
    <row r="15" spans="1:20" x14ac:dyDescent="0.3">
      <c r="B15" s="96">
        <f>'foglio deposito'!$L$34/'foglio deposito'!$B$141*'foglio deposito'!B50</f>
        <v>-3.1500000000000001E-4</v>
      </c>
      <c r="C15" s="30">
        <f>IF(B15&gt;'foglio deposito'!$L$33,2*'foglio deposito'!$F$22/'foglio deposito'!$L$33*(B15-B15^2/(2*'foglio deposito'!$L$33)),'foglio deposito'!$F$22)</f>
        <v>-5.6200856249999989</v>
      </c>
      <c r="D15" s="97">
        <f>IF(B15&gt;'foglio deposito'!$F$29,2*'foglio deposito'!$D$30/(-'foglio deposito'!$F$29)*(B15^2/2-(-B15)^3/(-6*'foglio deposito'!$F$29)),2*'foglio deposito'!$D$30/(-'foglio deposito'!$F$29)*('foglio deposito'!$F$29^2/2-(-'foglio deposito'!$F$29)^3/(-6*'foglio deposito'!$F$29))+'foglio deposito'!$D$30*(ABS(B15)-ABS('foglio deposito'!$F$29)))</f>
        <v>9.1038524062499995E-4</v>
      </c>
      <c r="E15" s="97">
        <f>IF(ABS(B15)&lt;ABS('foglio deposito'!$F$29),-2*'foglio deposito'!$D$30/(-'foglio deposito'!$F$29)*(-B15^3/3-(B15)^4/(-8*'foglio deposito'!$F$29)),-(2*'foglio deposito'!$D$30/(-'foglio deposito'!$F$29)*(ABS('foglio deposito'!$F$29)^3/3-ABS('foglio deposito'!$F$29)^4/(-8*'foglio deposito'!$F$29))+'foglio deposito'!$D$30/2*(ABS(B15)^2-ABS('foglio deposito'!$F$29)^2)))</f>
        <v>-1.8985675841015622E-7</v>
      </c>
      <c r="F15" s="98">
        <f>D15/('foglio deposito'!$F$22*'foglio deposito'!$L$34)</f>
        <v>1.3430812500000002E-2</v>
      </c>
      <c r="G15" s="98">
        <f t="shared" si="0"/>
        <v>0.33795074758135457</v>
      </c>
      <c r="H15" s="101">
        <f t="shared" si="1"/>
        <v>-2.0854551451187332E-4</v>
      </c>
      <c r="I15" s="30">
        <f t="shared" si="2"/>
        <v>-1.899312138439974</v>
      </c>
      <c r="J15" s="90"/>
      <c r="K15" s="19"/>
      <c r="L15" s="19"/>
      <c r="M15" s="19"/>
      <c r="N15" s="19"/>
      <c r="O15" s="19"/>
      <c r="P15" s="19"/>
      <c r="Q15" s="19"/>
    </row>
    <row r="16" spans="1:20" x14ac:dyDescent="0.3">
      <c r="B16" s="96">
        <f>'foglio deposito'!$L$34/'foglio deposito'!$B$141*'foglio deposito'!B51</f>
        <v>-3.5000000000000005E-4</v>
      </c>
      <c r="C16" s="30">
        <f>IF(B16&gt;'foglio deposito'!$L$33,2*'foglio deposito'!$F$22/'foglio deposito'!$L$33*(B16-B16^2/(2*'foglio deposito'!$L$33)),'foglio deposito'!$F$22)</f>
        <v>-6.1852291666666668</v>
      </c>
      <c r="D16" s="97">
        <f>IF(B16&gt;'foglio deposito'!$F$29,2*'foglio deposito'!$D$30/(-'foglio deposito'!$F$29)*(B16^2/2-(-B16)^3/(-6*'foglio deposito'!$F$29)),2*'foglio deposito'!$D$30/(-'foglio deposito'!$F$29)*('foglio deposito'!$F$29^2/2-(-'foglio deposito'!$F$29)^3/(-6*'foglio deposito'!$F$29))+'foglio deposito'!$D$30*(ABS(B16)-ABS('foglio deposito'!$F$29)))</f>
        <v>1.1170128472222226E-3</v>
      </c>
      <c r="E16" s="97">
        <f>IF(ABS(B16)&lt;ABS('foglio deposito'!$F$29),-2*'foglio deposito'!$D$30/(-'foglio deposito'!$F$29)*(-B16^3/3-(B16)^4/(-8*'foglio deposito'!$F$29)),-(2*'foglio deposito'!$D$30/(-'foglio deposito'!$F$29)*(ABS('foglio deposito'!$F$29)^3/3-ABS('foglio deposito'!$F$29)^4/(-8*'foglio deposito'!$F$29))+'foglio deposito'!$D$30/2*(ABS(B16)^2-ABS('foglio deposito'!$F$29)^2)))</f>
        <v>-2.5861812934027787E-7</v>
      </c>
      <c r="F16" s="98">
        <f>D16/('foglio deposito'!$F$22*'foglio deposito'!$L$34)</f>
        <v>1.6479166666666677E-2</v>
      </c>
      <c r="G16" s="98">
        <f t="shared" si="0"/>
        <v>0.33849557522123908</v>
      </c>
      <c r="H16" s="101">
        <f t="shared" si="1"/>
        <v>-2.3152654867256636E-4</v>
      </c>
      <c r="I16" s="30">
        <f t="shared" si="2"/>
        <v>-2.0936727046460186</v>
      </c>
      <c r="J16" s="90"/>
      <c r="K16" s="19"/>
      <c r="L16" s="19"/>
      <c r="M16" s="19"/>
      <c r="N16" s="19"/>
      <c r="O16" s="19"/>
      <c r="P16" s="19"/>
      <c r="Q16" s="19"/>
    </row>
    <row r="17" spans="2:23" x14ac:dyDescent="0.3">
      <c r="B17" s="96">
        <f>'foglio deposito'!$L$34/'foglio deposito'!$B$141*'foglio deposito'!B52</f>
        <v>-3.8500000000000003E-4</v>
      </c>
      <c r="C17" s="30">
        <f>IF(B17&gt;'foglio deposito'!$L$33,2*'foglio deposito'!$F$22/'foglio deposito'!$L$33*(B17-B17^2/(2*'foglio deposito'!$L$33)),'foglio deposito'!$F$22)</f>
        <v>-6.7385106249999991</v>
      </c>
      <c r="D17" s="97">
        <f>IF(B17&gt;'foglio deposito'!$F$29,2*'foglio deposito'!$D$30/(-'foglio deposito'!$F$29)*(B17^2/2-(-B17)^3/(-6*'foglio deposito'!$F$29)),2*'foglio deposito'!$D$30/(-'foglio deposito'!$F$29)*('foglio deposito'!$F$29^2/2-(-'foglio deposito'!$F$29)^3/(-6*'foglio deposito'!$F$29))+'foglio deposito'!$D$30*(ABS(B17)-ABS('foglio deposito'!$F$29)))</f>
        <v>1.3432128913194443E-3</v>
      </c>
      <c r="E17" s="97">
        <f>IF(ABS(B17)&lt;ABS('foglio deposito'!$F$29),-2*'foglio deposito'!$D$30/(-'foglio deposito'!$F$29)*(-B17^3/3-(B17)^4/(-8*'foglio deposito'!$F$29)),-(2*'foglio deposito'!$D$30/(-'foglio deposito'!$F$29)*(ABS('foglio deposito'!$F$29)^3/3-ABS('foglio deposito'!$F$29)^4/(-8*'foglio deposito'!$F$29))+'foglio deposito'!$D$30/2*(ABS(B17)^2-ABS('foglio deposito'!$F$29)^2)))</f>
        <v>-3.4180312636154517E-7</v>
      </c>
      <c r="F17" s="98">
        <f>D17/('foglio deposito'!$F$22*'foglio deposito'!$L$34)</f>
        <v>1.9816270833333337E-2</v>
      </c>
      <c r="G17" s="98">
        <f t="shared" si="0"/>
        <v>0.33904719501335701</v>
      </c>
      <c r="H17" s="101">
        <f t="shared" si="1"/>
        <v>-2.5446682991985757E-4</v>
      </c>
      <c r="I17" s="30">
        <f t="shared" si="2"/>
        <v>-2.2846731259739528</v>
      </c>
      <c r="J17" s="90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3" x14ac:dyDescent="0.3">
      <c r="B18" s="96">
        <f>'foglio deposito'!$L$34/'foglio deposito'!$B$141*'foglio deposito'!B53</f>
        <v>-4.2000000000000002E-4</v>
      </c>
      <c r="C18" s="30">
        <f>IF(B18&gt;'foglio deposito'!$L$33,2*'foglio deposito'!$F$22/'foglio deposito'!$L$33*(B18-B18^2/(2*'foglio deposito'!$L$33)),'foglio deposito'!$F$22)</f>
        <v>-7.2799299999999993</v>
      </c>
      <c r="D18" s="97">
        <f>IF(B18&gt;'foglio deposito'!$F$29,2*'foglio deposito'!$D$30/(-'foglio deposito'!$F$29)*(B18^2/2-(-B18)^3/(-6*'foglio deposito'!$F$29)),2*'foglio deposito'!$D$30/(-'foglio deposito'!$F$29)*('foglio deposito'!$F$29^2/2-(-'foglio deposito'!$F$29)^3/(-6*'foglio deposito'!$F$29))+'foglio deposito'!$D$30*(ABS(B18)-ABS('foglio deposito'!$F$29)))</f>
        <v>1.5885701999999999E-3</v>
      </c>
      <c r="E18" s="97">
        <f>IF(ABS(B18)&lt;ABS('foglio deposito'!$F$29),-2*'foglio deposito'!$D$30/(-'foglio deposito'!$F$29)*(-B18^3/3-(B18)^4/(-8*'foglio deposito'!$F$29)),-(2*'foglio deposito'!$D$30/(-'foglio deposito'!$F$29)*(ABS('foglio deposito'!$F$29)^3/3-ABS('foglio deposito'!$F$29)^4/(-8*'foglio deposito'!$F$29))+'foglio deposito'!$D$30/2*(ABS(B18)^2-ABS('foglio deposito'!$F$29)^2)))</f>
        <v>-4.4061471300000002E-7</v>
      </c>
      <c r="F18" s="98">
        <f>D18/('foglio deposito'!$F$22*'foglio deposito'!$L$34)</f>
        <v>2.3436000000000002E-2</v>
      </c>
      <c r="G18" s="98">
        <f t="shared" si="0"/>
        <v>0.33960573476702505</v>
      </c>
      <c r="H18" s="101">
        <f t="shared" si="1"/>
        <v>-2.7736559139784949E-4</v>
      </c>
      <c r="I18" s="30">
        <f t="shared" si="2"/>
        <v>-2.4723059767025086</v>
      </c>
      <c r="J18" s="90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2:23" x14ac:dyDescent="0.3">
      <c r="B19" s="96">
        <f>'foglio deposito'!$L$34/'foglio deposito'!$B$141*'foglio deposito'!B54</f>
        <v>-4.5500000000000006E-4</v>
      </c>
      <c r="C19" s="30">
        <f>IF(B19&gt;'foglio deposito'!$L$33,2*'foglio deposito'!$F$22/'foglio deposito'!$L$33*(B19-B19^2/(2*'foglio deposito'!$L$33)),'foglio deposito'!$F$22)</f>
        <v>-7.8094872916666667</v>
      </c>
      <c r="D19" s="97">
        <f>IF(B19&gt;'foglio deposito'!$F$29,2*'foglio deposito'!$D$30/(-'foglio deposito'!$F$29)*(B19^2/2-(-B19)^3/(-6*'foglio deposito'!$F$29)),2*'foglio deposito'!$D$30/(-'foglio deposito'!$F$29)*('foglio deposito'!$F$29^2/2-(-'foglio deposito'!$F$29)^3/(-6*'foglio deposito'!$F$29))+'foglio deposito'!$D$30*(ABS(B19)-ABS('foglio deposito'!$F$29)))</f>
        <v>1.8526696003472224E-3</v>
      </c>
      <c r="E19" s="97">
        <f>IF(ABS(B19)&lt;ABS('foglio deposito'!$F$29),-2*'foglio deposito'!$D$30/(-'foglio deposito'!$F$29)*(-B19^3/3-(B19)^4/(-8*'foglio deposito'!$F$29)),-(2*'foglio deposito'!$D$30/(-'foglio deposito'!$F$29)*(ABS('foglio deposito'!$F$29)^3/3-ABS('foglio deposito'!$F$29)^4/(-8*'foglio deposito'!$F$29))+'foglio deposito'!$D$30/2*(ABS(B19)^2-ABS('foglio deposito'!$F$29)^2)))</f>
        <v>-5.5621225962543406E-7</v>
      </c>
      <c r="F19" s="98">
        <f>D19/('foglio deposito'!$F$22*'foglio deposito'!$L$34)</f>
        <v>2.7332229166666673E-2</v>
      </c>
      <c r="G19" s="98">
        <f t="shared" si="0"/>
        <v>0.34017132551848528</v>
      </c>
      <c r="H19" s="101">
        <f t="shared" si="1"/>
        <v>-3.0022204688908924E-4</v>
      </c>
      <c r="I19" s="30">
        <f t="shared" si="2"/>
        <v>-2.6565636436260158</v>
      </c>
      <c r="J19" s="90"/>
      <c r="K19" s="19"/>
      <c r="L19" s="19"/>
      <c r="M19" s="19"/>
      <c r="N19" s="19"/>
      <c r="O19" s="65"/>
      <c r="P19" s="19"/>
      <c r="Q19" s="19"/>
      <c r="R19" s="19"/>
      <c r="S19" s="19"/>
      <c r="T19" s="19"/>
    </row>
    <row r="20" spans="2:23" x14ac:dyDescent="0.3">
      <c r="B20" s="96">
        <f>'foglio deposito'!$L$34/'foglio deposito'!$B$141*'foglio deposito'!B55</f>
        <v>-4.9000000000000009E-4</v>
      </c>
      <c r="C20" s="30">
        <f>IF(B20&gt;'foglio deposito'!$L$33,2*'foglio deposito'!$F$22/'foglio deposito'!$L$33*(B20-B20^2/(2*'foglio deposito'!$L$33)),'foglio deposito'!$F$22)</f>
        <v>-8.327182500000001</v>
      </c>
      <c r="D20" s="97">
        <f>IF(B20&gt;'foglio deposito'!$F$29,2*'foglio deposito'!$D$30/(-'foglio deposito'!$F$29)*(B20^2/2-(-B20)^3/(-6*'foglio deposito'!$F$29)),2*'foglio deposito'!$D$30/(-'foglio deposito'!$F$29)*('foglio deposito'!$F$29^2/2-(-'foglio deposito'!$F$29)^3/(-6*'foglio deposito'!$F$29))+'foglio deposito'!$D$30*(ABS(B20)-ABS('foglio deposito'!$F$29)))</f>
        <v>2.1350959194444451E-3</v>
      </c>
      <c r="E20" s="97">
        <f>IF(ABS(B20)&lt;ABS('foglio deposito'!$F$29),-2*'foglio deposito'!$D$30/(-'foglio deposito'!$F$29)*(-B20^3/3-(B20)^4/(-8*'foglio deposito'!$F$29)),-(2*'foglio deposito'!$D$30/(-'foglio deposito'!$F$29)*(ABS('foglio deposito'!$F$29)^3/3-ABS('foglio deposito'!$F$29)^4/(-8*'foglio deposito'!$F$29))+'foglio deposito'!$D$30/2*(ABS(B20)^2-ABS('foglio deposito'!$F$29)^2)))</f>
        <v>-6.8971154345138924E-7</v>
      </c>
      <c r="F20" s="98">
        <f>D20/('foglio deposito'!$F$22*'foglio deposito'!$L$34)</f>
        <v>3.1498833333333351E-2</v>
      </c>
      <c r="G20" s="98">
        <f t="shared" si="0"/>
        <v>0.34074410163339386</v>
      </c>
      <c r="H20" s="101">
        <f t="shared" si="1"/>
        <v>-3.2303539019963709E-4</v>
      </c>
      <c r="I20" s="30">
        <f t="shared" si="2"/>
        <v>-2.8374383200998192</v>
      </c>
      <c r="J20" s="90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2:23" x14ac:dyDescent="0.3">
      <c r="B21" s="96">
        <f>'foglio deposito'!$L$34/'foglio deposito'!$B$141*'foglio deposito'!B56</f>
        <v>-5.2500000000000008E-4</v>
      </c>
      <c r="C21" s="30">
        <f>IF(B21&gt;'foglio deposito'!$L$33,2*'foglio deposito'!$F$22/'foglio deposito'!$L$33*(B21-B21^2/(2*'foglio deposito'!$L$33)),'foglio deposito'!$F$22)</f>
        <v>-8.8330156249999998</v>
      </c>
      <c r="D21" s="97">
        <f>IF(B21&gt;'foglio deposito'!$F$29,2*'foglio deposito'!$D$30/(-'foglio deposito'!$F$29)*(B21^2/2-(-B21)^3/(-6*'foglio deposito'!$F$29)),2*'foglio deposito'!$D$30/(-'foglio deposito'!$F$29)*('foglio deposito'!$F$29^2/2-(-'foglio deposito'!$F$29)^3/(-6*'foglio deposito'!$F$29))+'foglio deposito'!$D$30*(ABS(B21)-ABS('foglio deposito'!$F$29)))</f>
        <v>2.4354339843750002E-3</v>
      </c>
      <c r="E21" s="97">
        <f>IF(ABS(B21)&lt;ABS('foglio deposito'!$F$29),-2*'foglio deposito'!$D$30/(-'foglio deposito'!$F$29)*(-B21^3/3-(B21)^4/(-8*'foglio deposito'!$F$29)),-(2*'foglio deposito'!$D$30/(-'foglio deposito'!$F$29)*(ABS('foglio deposito'!$F$29)^3/3-ABS('foglio deposito'!$F$29)^4/(-8*'foglio deposito'!$F$29))+'foglio deposito'!$D$30/2*(ABS(B21)^2-ABS('foglio deposito'!$F$29)^2)))</f>
        <v>-8.4218474853515648E-7</v>
      </c>
      <c r="F21" s="98">
        <f>D21/('foglio deposito'!$F$22*'foglio deposito'!$L$34)</f>
        <v>3.5929687500000008E-2</v>
      </c>
      <c r="G21" s="98">
        <f t="shared" si="0"/>
        <v>0.341324200913242</v>
      </c>
      <c r="H21" s="101">
        <f t="shared" si="1"/>
        <v>-3.45804794520548E-4</v>
      </c>
      <c r="I21" s="30">
        <f t="shared" si="2"/>
        <v>-3.014921999857306</v>
      </c>
      <c r="J21" s="90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3" x14ac:dyDescent="0.3">
      <c r="B22" s="96">
        <f>'foglio deposito'!$L$34/'foglio deposito'!$B$141*'foglio deposito'!B57</f>
        <v>-5.6000000000000006E-4</v>
      </c>
      <c r="C22" s="30">
        <f>IF(B22&gt;'foglio deposito'!$L$33,2*'foglio deposito'!$F$22/'foglio deposito'!$L$33*(B22-B22^2/(2*'foglio deposito'!$L$33)),'foglio deposito'!$F$22)</f>
        <v>-9.3269866666666665</v>
      </c>
      <c r="D22" s="97">
        <f>IF(B22&gt;'foglio deposito'!$F$29,2*'foglio deposito'!$D$30/(-'foglio deposito'!$F$29)*(B22^2/2-(-B22)^3/(-6*'foglio deposito'!$F$29)),2*'foglio deposito'!$D$30/(-'foglio deposito'!$F$29)*('foglio deposito'!$F$29^2/2-(-'foglio deposito'!$F$29)^3/(-6*'foglio deposito'!$F$29))+'foglio deposito'!$D$30*(ABS(B22)-ABS('foglio deposito'!$F$29)))</f>
        <v>2.7532686222222222E-3</v>
      </c>
      <c r="E22" s="97">
        <f>IF(ABS(B22)&lt;ABS('foglio deposito'!$F$29),-2*'foglio deposito'!$D$30/(-'foglio deposito'!$F$29)*(-B22^3/3-(B22)^4/(-8*'foglio deposito'!$F$29)),-(2*'foglio deposito'!$D$30/(-'foglio deposito'!$F$29)*(ABS('foglio deposito'!$F$29)^3/3-ABS('foglio deposito'!$F$29)^4/(-8*'foglio deposito'!$F$29))+'foglio deposito'!$D$30/2*(ABS(B22)^2-ABS('foglio deposito'!$F$29)^2)))</f>
        <v>-1.0146604657777779E-6</v>
      </c>
      <c r="F22" s="98">
        <f>D22/('foglio deposito'!$F$22*'foglio deposito'!$L$34)</f>
        <v>4.0618666666666671E-2</v>
      </c>
      <c r="G22" s="98">
        <f t="shared" si="0"/>
        <v>0.34191176470588236</v>
      </c>
      <c r="H22" s="101">
        <f t="shared" si="1"/>
        <v>-3.6852941176470592E-4</v>
      </c>
      <c r="I22" s="30">
        <f t="shared" si="2"/>
        <v>-3.1890064705882355</v>
      </c>
      <c r="J22" s="90"/>
      <c r="K22" s="19" t="s">
        <v>40</v>
      </c>
      <c r="L22" s="40"/>
      <c r="M22" s="19"/>
      <c r="N22" s="19"/>
      <c r="O22" s="32" t="str">
        <f>DATI!F6</f>
        <v>C30/37</v>
      </c>
      <c r="P22" s="19"/>
      <c r="Q22" s="19"/>
      <c r="R22" s="19"/>
      <c r="S22" s="19"/>
      <c r="T22" s="19"/>
    </row>
    <row r="23" spans="2:23" x14ac:dyDescent="0.3">
      <c r="B23" s="96">
        <f>'foglio deposito'!$L$34/'foglio deposito'!$B$141*'foglio deposito'!B58</f>
        <v>-5.9500000000000004E-4</v>
      </c>
      <c r="C23" s="30">
        <f>IF(B23&gt;'foglio deposito'!$L$33,2*'foglio deposito'!$F$22/'foglio deposito'!$L$33*(B23-B23^2/(2*'foglio deposito'!$L$33)),'foglio deposito'!$F$22)</f>
        <v>-9.8090956249999994</v>
      </c>
      <c r="D23" s="97">
        <f>IF(B23&gt;'foglio deposito'!$F$29,2*'foglio deposito'!$D$30/(-'foglio deposito'!$F$29)*(B23^2/2-(-B23)^3/(-6*'foglio deposito'!$F$29)),2*'foglio deposito'!$D$30/(-'foglio deposito'!$F$29)*('foglio deposito'!$F$29^2/2-(-'foglio deposito'!$F$29)^3/(-6*'foglio deposito'!$F$29))+'foglio deposito'!$D$30*(ABS(B23)-ABS('foglio deposito'!$F$29)))</f>
        <v>3.0881846600694447E-3</v>
      </c>
      <c r="E23" s="97">
        <f>IF(ABS(B23)&lt;ABS('foglio deposito'!$F$29),-2*'foglio deposito'!$D$30/(-'foglio deposito'!$F$29)*(-B23^3/3-(B23)^4/(-8*'foglio deposito'!$F$29)),-(2*'foglio deposito'!$D$30/(-'foglio deposito'!$F$29)*(ABS('foglio deposito'!$F$29)^3/3-ABS('foglio deposito'!$F$29)^4/(-8*'foglio deposito'!$F$29))+'foglio deposito'!$D$30/2*(ABS(B23)^2-ABS('foglio deposito'!$F$29)^2)))</f>
        <v>-1.2081236929240453E-6</v>
      </c>
      <c r="F23" s="98">
        <f>D23/('foglio deposito'!$F$22*'foglio deposito'!$L$34)</f>
        <v>4.555964583333335E-2</v>
      </c>
      <c r="G23" s="98">
        <f t="shared" si="0"/>
        <v>0.34250693802035159</v>
      </c>
      <c r="H23" s="101">
        <f t="shared" si="1"/>
        <v>-3.9120837187789083E-4</v>
      </c>
      <c r="I23" s="30">
        <f t="shared" si="2"/>
        <v>-3.3596833072675767</v>
      </c>
      <c r="J23" s="90"/>
      <c r="K23" s="19"/>
      <c r="L23" s="19"/>
      <c r="M23" s="19"/>
      <c r="N23" s="19"/>
      <c r="O23" s="19"/>
      <c r="P23" s="19"/>
      <c r="Q23" s="19"/>
      <c r="R23" s="49"/>
      <c r="S23" s="19"/>
      <c r="T23" s="19"/>
    </row>
    <row r="24" spans="2:23" x14ac:dyDescent="0.3">
      <c r="B24" s="96">
        <f>'foglio deposito'!$L$34/'foglio deposito'!$B$141*'foglio deposito'!B59</f>
        <v>-6.3000000000000003E-4</v>
      </c>
      <c r="C24" s="30">
        <f>IF(B24&gt;'foglio deposito'!$L$33,2*'foglio deposito'!$F$22/'foglio deposito'!$L$33*(B24-B24^2/(2*'foglio deposito'!$L$33)),'foglio deposito'!$F$22)</f>
        <v>-10.2793425</v>
      </c>
      <c r="D24" s="97">
        <f>IF(B24&gt;'foglio deposito'!$F$29,2*'foglio deposito'!$D$30/(-'foglio deposito'!$F$29)*(B24^2/2-(-B24)^3/(-6*'foglio deposito'!$F$29)),2*'foglio deposito'!$D$30/(-'foglio deposito'!$F$29)*('foglio deposito'!$F$29^2/2-(-'foglio deposito'!$F$29)^3/(-6*'foglio deposito'!$F$29))+'foglio deposito'!$D$30*(ABS(B24)-ABS('foglio deposito'!$F$29)))</f>
        <v>3.4397669249999997E-3</v>
      </c>
      <c r="E24" s="97">
        <f>IF(ABS(B24)&lt;ABS('foglio deposito'!$F$29),-2*'foglio deposito'!$D$30/(-'foglio deposito'!$F$29)*(-B24^3/3-(B24)^4/(-8*'foglio deposito'!$F$29)),-(2*'foglio deposito'!$D$30/(-'foglio deposito'!$F$29)*(ABS('foglio deposito'!$F$29)^3/3-ABS('foglio deposito'!$F$29)^4/(-8*'foglio deposito'!$F$29))+'foglio deposito'!$D$30/2*(ABS(B24)^2-ABS('foglio deposito'!$F$29)^2)))</f>
        <v>-1.4235158345624998E-6</v>
      </c>
      <c r="F24" s="98">
        <f>D24/('foglio deposito'!$F$22*'foglio deposito'!$L$34)</f>
        <v>5.0746500000000007E-2</v>
      </c>
      <c r="G24" s="98">
        <f t="shared" si="0"/>
        <v>0.34310986964618251</v>
      </c>
      <c r="H24" s="101">
        <f t="shared" si="1"/>
        <v>-4.1384078212290502E-4</v>
      </c>
      <c r="I24" s="30">
        <f t="shared" si="2"/>
        <v>-3.5269438652234637</v>
      </c>
      <c r="J24" s="90"/>
      <c r="K24" s="19" t="s">
        <v>29</v>
      </c>
      <c r="L24" s="19"/>
      <c r="M24" s="19"/>
      <c r="N24" s="63" t="str">
        <f>IF('foglio deposito'!D33="no","Rck","Rck,c")</f>
        <v>Rck</v>
      </c>
      <c r="O24" s="66">
        <f>IF('foglio deposito'!D33="no",DATI!F9,O26/0.83)</f>
        <v>35</v>
      </c>
      <c r="P24" s="19"/>
      <c r="Q24" s="19"/>
      <c r="R24" s="19"/>
      <c r="S24" s="19"/>
      <c r="T24" s="19"/>
    </row>
    <row r="25" spans="2:23" x14ac:dyDescent="0.3">
      <c r="B25" s="96">
        <f>'foglio deposito'!$L$34/'foglio deposito'!$B$141*'foglio deposito'!B60</f>
        <v>-6.6500000000000012E-4</v>
      </c>
      <c r="C25" s="30">
        <f>IF(B25&gt;'foglio deposito'!$L$33,2*'foglio deposito'!$F$22/'foglio deposito'!$L$33*(B25-B25^2/(2*'foglio deposito'!$L$33)),'foglio deposito'!$F$22)</f>
        <v>-10.737727291666667</v>
      </c>
      <c r="D25" s="97">
        <f>IF(B25&gt;'foglio deposito'!$F$29,2*'foglio deposito'!$D$30/(-'foglio deposito'!$F$29)*(B25^2/2-(-B25)^3/(-6*'foglio deposito'!$F$29)),2*'foglio deposito'!$D$30/(-'foglio deposito'!$F$29)*('foglio deposito'!$F$29^2/2-(-'foglio deposito'!$F$29)^3/(-6*'foglio deposito'!$F$29))+'foglio deposito'!$D$30*(ABS(B25)-ABS('foglio deposito'!$F$29)))</f>
        <v>3.8076002440972229E-3</v>
      </c>
      <c r="E25" s="97">
        <f>IF(ABS(B25)&lt;ABS('foglio deposito'!$F$29),-2*'foglio deposito'!$D$30/(-'foglio deposito'!$F$29)*(-B25^3/3-(B25)^4/(-8*'foglio deposito'!$F$29)),-(2*'foglio deposito'!$D$30/(-'foglio deposito'!$F$29)*(ABS('foglio deposito'!$F$29)^3/3-ABS('foglio deposito'!$F$29)^4/(-8*'foglio deposito'!$F$29))+'foglio deposito'!$D$30/2*(ABS(B25)^2-ABS('foglio deposito'!$F$29)^2)))</f>
        <v>-1.6617347021254344E-6</v>
      </c>
      <c r="F25" s="98">
        <f>D25/('foglio deposito'!$F$22*'foglio deposito'!$L$34)</f>
        <v>5.6173104166666689E-2</v>
      </c>
      <c r="G25" s="98">
        <f t="shared" si="0"/>
        <v>0.34372071227741341</v>
      </c>
      <c r="H25" s="101">
        <f t="shared" si="1"/>
        <v>-4.3642572633552015E-4</v>
      </c>
      <c r="I25" s="30">
        <f t="shared" si="2"/>
        <v>-3.6907792729322879</v>
      </c>
      <c r="J25" s="90"/>
      <c r="K25" s="19" t="s">
        <v>30</v>
      </c>
      <c r="L25" s="19"/>
      <c r="M25" s="19"/>
      <c r="N25" s="63" t="str">
        <f>IF('foglio deposito'!D33="no","fcm","fcm,c")</f>
        <v>fcm</v>
      </c>
      <c r="O25" s="66">
        <f>O26+8</f>
        <v>37.049999999999997</v>
      </c>
      <c r="P25" s="19"/>
      <c r="Q25" s="19"/>
      <c r="R25" s="19"/>
      <c r="S25" s="19"/>
      <c r="T25" s="19"/>
    </row>
    <row r="26" spans="2:23" x14ac:dyDescent="0.3">
      <c r="B26" s="96">
        <f>'foglio deposito'!$L$34/'foglio deposito'!$B$141*'foglio deposito'!B61</f>
        <v>-7.000000000000001E-4</v>
      </c>
      <c r="C26" s="30">
        <f>IF(B26&gt;'foglio deposito'!$L$33,2*'foglio deposito'!$F$22/'foglio deposito'!$L$33*(B26-B26^2/(2*'foglio deposito'!$L$33)),'foglio deposito'!$F$22)</f>
        <v>-11.18425</v>
      </c>
      <c r="D26" s="97">
        <f>IF(B26&gt;'foglio deposito'!$F$29,2*'foglio deposito'!$D$30/(-'foglio deposito'!$F$29)*(B26^2/2-(-B26)^3/(-6*'foglio deposito'!$F$29)),2*'foglio deposito'!$D$30/(-'foglio deposito'!$F$29)*('foglio deposito'!$F$29^2/2-(-'foglio deposito'!$F$29)^3/(-6*'foglio deposito'!$F$29))+'foglio deposito'!$D$30*(ABS(B26)-ABS('foglio deposito'!$F$29)))</f>
        <v>4.1912694444444449E-3</v>
      </c>
      <c r="E26" s="97">
        <f>IF(ABS(B26)&lt;ABS('foglio deposito'!$F$29),-2*'foglio deposito'!$D$30/(-'foglio deposito'!$F$29)*(-B26^3/3-(B26)^4/(-8*'foglio deposito'!$F$29)),-(2*'foglio deposito'!$D$30/(-'foglio deposito'!$F$29)*(ABS('foglio deposito'!$F$29)^3/3-ABS('foglio deposito'!$F$29)^4/(-8*'foglio deposito'!$F$29))+'foglio deposito'!$D$30/2*(ABS(B26)^2-ABS('foglio deposito'!$F$29)^2)))</f>
        <v>-1.9236345138888893E-6</v>
      </c>
      <c r="F26" s="98">
        <f>D26/('foglio deposito'!$F$22*'foglio deposito'!$L$34)</f>
        <v>6.1833333333333351E-2</v>
      </c>
      <c r="G26" s="98">
        <f t="shared" si="0"/>
        <v>0.34433962264150941</v>
      </c>
      <c r="H26" s="101">
        <f t="shared" si="1"/>
        <v>-4.5896226415094346E-4</v>
      </c>
      <c r="I26" s="30">
        <f t="shared" si="2"/>
        <v>-3.8511804245283017</v>
      </c>
      <c r="J26" s="90"/>
      <c r="K26" s="19" t="s">
        <v>31</v>
      </c>
      <c r="L26" s="19"/>
      <c r="M26" s="19"/>
      <c r="N26" s="63" t="str">
        <f>IF('foglio deposito'!D33="no","fck","fck,c")</f>
        <v>fck</v>
      </c>
      <c r="O26" s="66">
        <f>IF('foglio deposito'!D33="no",O24*0.83,-'foglio deposito'!F22*1.5)</f>
        <v>29.049999999999997</v>
      </c>
      <c r="P26" s="19"/>
      <c r="Q26" s="19"/>
      <c r="R26" s="19"/>
      <c r="S26" s="19"/>
      <c r="T26" s="19"/>
    </row>
    <row r="27" spans="2:23" x14ac:dyDescent="0.3">
      <c r="B27" s="96">
        <f>'foglio deposito'!$L$34/'foglio deposito'!$B$141*'foglio deposito'!B62</f>
        <v>-7.3500000000000008E-4</v>
      </c>
      <c r="C27" s="30">
        <f>IF(B27&gt;'foglio deposito'!$L$33,2*'foglio deposito'!$F$22/'foglio deposito'!$L$33*(B27-B27^2/(2*'foglio deposito'!$L$33)),'foglio deposito'!$F$22)</f>
        <v>-11.618910625</v>
      </c>
      <c r="D27" s="97">
        <f>IF(B27&gt;'foglio deposito'!$F$29,2*'foglio deposito'!$D$30/(-'foglio deposito'!$F$29)*(B27^2/2-(-B27)^3/(-6*'foglio deposito'!$F$29)),2*'foglio deposito'!$D$30/(-'foglio deposito'!$F$29)*('foglio deposito'!$F$29^2/2-(-'foglio deposito'!$F$29)^3/(-6*'foglio deposito'!$F$29))+'foglio deposito'!$D$30*(ABS(B27)-ABS('foglio deposito'!$F$29)))</f>
        <v>4.5903593531250002E-3</v>
      </c>
      <c r="E27" s="97">
        <f>IF(ABS(B27)&lt;ABS('foglio deposito'!$F$29),-2*'foglio deposito'!$D$30/(-'foglio deposito'!$F$29)*(-B27^3/3-(B27)^4/(-8*'foglio deposito'!$F$29)),-(2*'foglio deposito'!$D$30/(-'foglio deposito'!$F$29)*(ABS('foglio deposito'!$F$29)^3/3-ABS('foglio deposito'!$F$29)^4/(-8*'foglio deposito'!$F$29))+'foglio deposito'!$D$30/2*(ABS(B27)^2-ABS('foglio deposito'!$F$29)^2)))</f>
        <v>-2.2100258949726565E-6</v>
      </c>
      <c r="F27" s="98">
        <f>D27/('foglio deposito'!$F$22*'foglio deposito'!$L$34)</f>
        <v>6.7721062500000012E-2</v>
      </c>
      <c r="G27" s="98">
        <f t="shared" si="0"/>
        <v>0.34496676163342832</v>
      </c>
      <c r="H27" s="101">
        <f t="shared" si="1"/>
        <v>-4.8144943019943023E-4</v>
      </c>
      <c r="I27" s="30">
        <f t="shared" si="2"/>
        <v>-4.0081379720144827</v>
      </c>
      <c r="J27" s="90"/>
      <c r="K27" s="19" t="s">
        <v>32</v>
      </c>
      <c r="L27" s="19"/>
      <c r="M27" s="19"/>
      <c r="N27" s="63" t="str">
        <f>IF('foglio deposito'!D33="no","fcd","fcd,c")</f>
        <v>fcd</v>
      </c>
      <c r="O27" s="66">
        <f>-'foglio deposito'!F22</f>
        <v>19.366666666666664</v>
      </c>
      <c r="P27" s="19"/>
      <c r="Q27" s="19"/>
      <c r="R27" s="19"/>
      <c r="S27" s="19"/>
      <c r="T27" s="19"/>
    </row>
    <row r="28" spans="2:23" x14ac:dyDescent="0.3">
      <c r="B28" s="96">
        <f>'foglio deposito'!$L$34/'foglio deposito'!$B$141*'foglio deposito'!B63</f>
        <v>-7.7000000000000007E-4</v>
      </c>
      <c r="C28" s="30">
        <f>IF(B28&gt;'foglio deposito'!$L$33,2*'foglio deposito'!$F$22/'foglio deposito'!$L$33*(B28-B28^2/(2*'foglio deposito'!$L$33)),'foglio deposito'!$F$22)</f>
        <v>-12.041709166666667</v>
      </c>
      <c r="D28" s="97">
        <f>IF(B28&gt;'foglio deposito'!$F$29,2*'foglio deposito'!$D$30/(-'foglio deposito'!$F$29)*(B28^2/2-(-B28)^3/(-6*'foglio deposito'!$F$29)),2*'foglio deposito'!$D$30/(-'foglio deposito'!$F$29)*('foglio deposito'!$F$29^2/2-(-'foglio deposito'!$F$29)^3/(-6*'foglio deposito'!$F$29))+'foglio deposito'!$D$30*(ABS(B28)-ABS('foglio deposito'!$F$29)))</f>
        <v>5.0044547972222225E-3</v>
      </c>
      <c r="E28" s="97">
        <f>IF(ABS(B28)&lt;ABS('foglio deposito'!$F$29),-2*'foglio deposito'!$D$30/(-'foglio deposito'!$F$29)*(-B28^3/3-(B28)^4/(-8*'foglio deposito'!$F$29)),-(2*'foglio deposito'!$D$30/(-'foglio deposito'!$F$29)*(ABS('foglio deposito'!$F$29)^3/3-ABS('foglio deposito'!$F$29)^4/(-8*'foglio deposito'!$F$29))+'foglio deposito'!$D$30/2*(ABS(B28)^2-ABS('foglio deposito'!$F$29)^2)))</f>
        <v>-2.5216758773402777E-6</v>
      </c>
      <c r="F28" s="98">
        <f>D28/('foglio deposito'!$F$22*'foglio deposito'!$L$34)</f>
        <v>7.3830166666666683E-2</v>
      </c>
      <c r="G28" s="98">
        <f t="shared" si="0"/>
        <v>0.34560229445506696</v>
      </c>
      <c r="H28" s="101">
        <f t="shared" si="1"/>
        <v>-5.0388623326959845E-4</v>
      </c>
      <c r="I28" s="30">
        <f t="shared" si="2"/>
        <v>-4.1616423171606121</v>
      </c>
      <c r="J28" s="90"/>
      <c r="K28" s="19" t="s">
        <v>33</v>
      </c>
      <c r="L28" s="19"/>
      <c r="M28" s="19"/>
      <c r="N28" s="64" t="str">
        <f>IF('foglio deposito'!D33="no","fctm","fctm,c")</f>
        <v>fctm</v>
      </c>
      <c r="O28" s="66">
        <f>0.3*O26^(2/3)</f>
        <v>2.8349931412728426</v>
      </c>
      <c r="P28" s="19"/>
      <c r="Q28" s="19"/>
      <c r="R28" s="19"/>
      <c r="S28" s="19"/>
      <c r="U28" s="4"/>
      <c r="V28" s="4"/>
    </row>
    <row r="29" spans="2:23" x14ac:dyDescent="0.3">
      <c r="B29" s="96">
        <f>'foglio deposito'!$L$34/'foglio deposito'!$B$141*'foglio deposito'!B64</f>
        <v>-8.0500000000000005E-4</v>
      </c>
      <c r="C29" s="30">
        <f>IF(B29&gt;'foglio deposito'!$L$33,2*'foglio deposito'!$F$22/'foglio deposito'!$L$33*(B29-B29^2/(2*'foglio deposito'!$L$33)),'foglio deposito'!$F$22)</f>
        <v>-12.452645624999999</v>
      </c>
      <c r="D29" s="97">
        <f>IF(B29&gt;'foglio deposito'!$F$29,2*'foglio deposito'!$D$30/(-'foglio deposito'!$F$29)*(B29^2/2-(-B29)^3/(-6*'foglio deposito'!$F$29)),2*'foglio deposito'!$D$30/(-'foglio deposito'!$F$29)*('foglio deposito'!$F$29^2/2-(-'foglio deposito'!$F$29)^3/(-6*'foglio deposito'!$F$29))+'foglio deposito'!$D$30*(ABS(B29)-ABS('foglio deposito'!$F$29)))</f>
        <v>5.4331406038194445E-3</v>
      </c>
      <c r="E29" s="97">
        <f>IF(ABS(B29)&lt;ABS('foglio deposito'!$F$29),-2*'foglio deposito'!$D$30/(-'foglio deposito'!$F$29)*(-B29^3/3-(B29)^4/(-8*'foglio deposito'!$F$29)),-(2*'foglio deposito'!$D$30/(-'foglio deposito'!$F$29)*(ABS('foglio deposito'!$F$29)^3/3-ABS('foglio deposito'!$F$29)^4/(-8*'foglio deposito'!$F$29))+'foglio deposito'!$D$30/2*(ABS(B29)^2-ABS('foglio deposito'!$F$29)^2)))</f>
        <v>-2.859307899799045E-6</v>
      </c>
      <c r="F29" s="98">
        <f>D29/('foglio deposito'!$F$22*'foglio deposito'!$L$34)</f>
        <v>8.0154520833333354E-2</v>
      </c>
      <c r="G29" s="98">
        <f t="shared" si="0"/>
        <v>0.34624639076034647</v>
      </c>
      <c r="H29" s="101">
        <f t="shared" si="1"/>
        <v>-5.2627165543792109E-4</v>
      </c>
      <c r="I29" s="30">
        <f t="shared" si="2"/>
        <v>-4.3116836030738686</v>
      </c>
      <c r="J29" s="90"/>
      <c r="K29" s="19" t="s">
        <v>34</v>
      </c>
      <c r="L29" s="19"/>
      <c r="M29" s="19"/>
      <c r="N29" s="63" t="str">
        <f>IF('foglio deposito'!D33="no","fctk","fctk,c")</f>
        <v>fctk</v>
      </c>
      <c r="O29" s="66">
        <f>0.7*O28</f>
        <v>1.9844951988909898</v>
      </c>
      <c r="P29" s="19"/>
      <c r="Q29" s="19"/>
      <c r="R29" s="19"/>
      <c r="S29" s="19"/>
      <c r="U29" s="2"/>
      <c r="V29" s="1"/>
      <c r="W29" s="10"/>
    </row>
    <row r="30" spans="2:23" x14ac:dyDescent="0.3">
      <c r="B30" s="96">
        <f>'foglio deposito'!$L$34/'foglio deposito'!$B$141*'foglio deposito'!B65</f>
        <v>-8.4000000000000003E-4</v>
      </c>
      <c r="C30" s="30">
        <f>IF(B30&gt;'foglio deposito'!$L$33,2*'foglio deposito'!$F$22/'foglio deposito'!$L$33*(B30-B30^2/(2*'foglio deposito'!$L$33)),'foglio deposito'!$F$22)</f>
        <v>-12.85172</v>
      </c>
      <c r="D30" s="97">
        <f>IF(B30&gt;'foglio deposito'!$F$29,2*'foglio deposito'!$D$30/(-'foglio deposito'!$F$29)*(B30^2/2-(-B30)^3/(-6*'foglio deposito'!$F$29)),2*'foglio deposito'!$D$30/(-'foglio deposito'!$F$29)*('foglio deposito'!$F$29^2/2-(-'foglio deposito'!$F$29)^3/(-6*'foglio deposito'!$F$29))+'foglio deposito'!$D$30*(ABS(B30)-ABS('foglio deposito'!$F$29)))</f>
        <v>5.8760015999999998E-3</v>
      </c>
      <c r="E30" s="97">
        <f>IF(ABS(B30)&lt;ABS('foglio deposito'!$F$29),-2*'foglio deposito'!$D$30/(-'foglio deposito'!$F$29)*(-B30^3/3-(B30)^4/(-8*'foglio deposito'!$F$29)),-(2*'foglio deposito'!$D$30/(-'foglio deposito'!$F$29)*(ABS('foglio deposito'!$F$29)^3/3-ABS('foglio deposito'!$F$29)^4/(-8*'foglio deposito'!$F$29))+'foglio deposito'!$D$30/2*(ABS(B30)^2-ABS('foglio deposito'!$F$29)^2)))</f>
        <v>-3.2236018079999997E-6</v>
      </c>
      <c r="F30" s="98">
        <f>D30/('foglio deposito'!$F$22*'foglio deposito'!$L$34)</f>
        <v>8.6688000000000015E-2</v>
      </c>
      <c r="G30" s="98">
        <f t="shared" si="0"/>
        <v>0.34689922480620161</v>
      </c>
      <c r="H30" s="101">
        <f t="shared" si="1"/>
        <v>-5.4860465116279063E-4</v>
      </c>
      <c r="I30" s="30">
        <f t="shared" si="2"/>
        <v>-4.4582517054263571</v>
      </c>
      <c r="J30" s="90"/>
      <c r="K30" s="19" t="s">
        <v>35</v>
      </c>
      <c r="L30" s="19"/>
      <c r="M30" s="19"/>
      <c r="N30" s="63" t="str">
        <f>IF('foglio deposito'!D33="no","fct,d","fctd,c")</f>
        <v>fct,d</v>
      </c>
      <c r="O30" s="66">
        <f>O29/1.5</f>
        <v>1.3229967992606599</v>
      </c>
      <c r="P30" s="19"/>
      <c r="Q30" s="19"/>
    </row>
    <row r="31" spans="2:23" x14ac:dyDescent="0.3">
      <c r="B31" s="96">
        <f>'foglio deposito'!$L$34/'foglio deposito'!$B$141*'foglio deposito'!B66</f>
        <v>-8.7500000000000013E-4</v>
      </c>
      <c r="C31" s="30">
        <f>IF(B31&gt;'foglio deposito'!$L$33,2*'foglio deposito'!$F$22/'foglio deposito'!$L$33*(B31-B31^2/(2*'foglio deposito'!$L$33)),'foglio deposito'!$F$22)</f>
        <v>-13.238932291666666</v>
      </c>
      <c r="D31" s="97">
        <f>IF(B31&gt;'foglio deposito'!$F$29,2*'foglio deposito'!$D$30/(-'foglio deposito'!$F$29)*(B31^2/2-(-B31)^3/(-6*'foglio deposito'!$F$29)),2*'foglio deposito'!$D$30/(-'foglio deposito'!$F$29)*('foglio deposito'!$F$29^2/2-(-'foglio deposito'!$F$29)^3/(-6*'foglio deposito'!$F$29))+'foglio deposito'!$D$30*(ABS(B31)-ABS('foglio deposito'!$F$29)))</f>
        <v>6.332622612847223E-3</v>
      </c>
      <c r="E31" s="97">
        <f>IF(ABS(B31)&lt;ABS('foglio deposito'!$F$29),-2*'foglio deposito'!$D$30/(-'foglio deposito'!$F$29)*(-B31^3/3-(B31)^4/(-8*'foglio deposito'!$F$29)),-(2*'foglio deposito'!$D$30/(-'foglio deposito'!$F$29)*(ABS('foglio deposito'!$F$29)^3/3-ABS('foglio deposito'!$F$29)^4/(-8*'foglio deposito'!$F$29))+'foglio deposito'!$D$30/2*(ABS(B31)^2-ABS('foglio deposito'!$F$29)^2)))</f>
        <v>-3.6151938544379347E-6</v>
      </c>
      <c r="F31" s="98">
        <f>D31/('foglio deposito'!$F$22*'foglio deposito'!$L$34)</f>
        <v>9.3424479166666699E-2</v>
      </c>
      <c r="G31" s="98">
        <f t="shared" si="0"/>
        <v>0.34756097560975607</v>
      </c>
      <c r="H31" s="101">
        <f t="shared" si="1"/>
        <v>-5.7088414634146349E-4</v>
      </c>
      <c r="I31" s="30">
        <f t="shared" si="2"/>
        <v>-4.6013362233231705</v>
      </c>
      <c r="J31" s="90"/>
      <c r="K31" s="19" t="s">
        <v>36</v>
      </c>
      <c r="L31" s="19"/>
      <c r="M31" s="19"/>
      <c r="N31" s="63" t="s">
        <v>65</v>
      </c>
      <c r="O31" s="66">
        <f>(2.25*O29)/1.5</f>
        <v>2.9767427983364847</v>
      </c>
      <c r="P31" s="19"/>
      <c r="Q31" s="19"/>
    </row>
    <row r="32" spans="2:23" x14ac:dyDescent="0.3">
      <c r="B32" s="96">
        <f>'foglio deposito'!$L$34/'foglio deposito'!$B$141*'foglio deposito'!B67</f>
        <v>-9.1000000000000011E-4</v>
      </c>
      <c r="C32" s="30">
        <f>IF(B32&gt;'foglio deposito'!$L$33,2*'foglio deposito'!$F$22/'foglio deposito'!$L$33*(B32-B32^2/(2*'foglio deposito'!$L$33)),'foglio deposito'!$F$22)</f>
        <v>-13.6142825</v>
      </c>
      <c r="D32" s="97">
        <f>IF(B32&gt;'foglio deposito'!$F$29,2*'foglio deposito'!$D$30/(-'foglio deposito'!$F$29)*(B32^2/2-(-B32)^3/(-6*'foglio deposito'!$F$29)),2*'foglio deposito'!$D$30/(-'foglio deposito'!$F$29)*('foglio deposito'!$F$29^2/2-(-'foglio deposito'!$F$29)^3/(-6*'foglio deposito'!$F$29))+'foglio deposito'!$D$30*(ABS(B32)-ABS('foglio deposito'!$F$29)))</f>
        <v>6.8025884694444443E-3</v>
      </c>
      <c r="E32" s="97">
        <f>IF(ABS(B32)&lt;ABS('foglio deposito'!$F$29),-2*'foglio deposito'!$D$30/(-'foglio deposito'!$F$29)*(-B32^3/3-(B32)^4/(-8*'foglio deposito'!$F$29)),-(2*'foglio deposito'!$D$30/(-'foglio deposito'!$F$29)*(ABS('foglio deposito'!$F$29)^3/3-ABS('foglio deposito'!$F$29)^4/(-8*'foglio deposito'!$F$29))+'foglio deposito'!$D$30/2*(ABS(B32)^2-ABS('foglio deposito'!$F$29)^2)))</f>
        <v>-4.0346766984513894E-6</v>
      </c>
      <c r="F32" s="98">
        <f>D32/('foglio deposito'!$F$22*'foglio deposito'!$L$34)</f>
        <v>0.10035783333333335</v>
      </c>
      <c r="G32" s="98">
        <f t="shared" si="0"/>
        <v>0.3482318271119843</v>
      </c>
      <c r="H32" s="101">
        <f t="shared" si="1"/>
        <v>-5.9310903732809437E-4</v>
      </c>
      <c r="I32" s="30">
        <f t="shared" si="2"/>
        <v>-4.7409264697937132</v>
      </c>
      <c r="J32" s="90"/>
      <c r="K32" s="19" t="s">
        <v>37</v>
      </c>
      <c r="L32" s="19"/>
      <c r="M32" s="19"/>
      <c r="N32" s="63" t="str">
        <f>IF('foglio deposito'!D33="no","Ec","Ec,c")</f>
        <v>Ec</v>
      </c>
      <c r="O32" s="26">
        <f>22000*((0.83*O24+8)/10)^0.3</f>
        <v>32588.107818695287</v>
      </c>
      <c r="P32" s="19"/>
      <c r="Q32" s="19"/>
      <c r="R32" s="19"/>
      <c r="S32" s="19"/>
      <c r="T32" s="19"/>
    </row>
    <row r="33" spans="2:20" x14ac:dyDescent="0.3">
      <c r="B33" s="96">
        <f>'foglio deposito'!$L$34/'foglio deposito'!$B$141*'foglio deposito'!B68</f>
        <v>-9.4500000000000009E-4</v>
      </c>
      <c r="C33" s="30">
        <f>IF(B33&gt;'foglio deposito'!$L$33,2*'foglio deposito'!$F$22/'foglio deposito'!$L$33*(B33-B33^2/(2*'foglio deposito'!$L$33)),'foglio deposito'!$F$22)</f>
        <v>-13.977770624999998</v>
      </c>
      <c r="D33" s="97">
        <f>IF(B33&gt;'foglio deposito'!$F$29,2*'foglio deposito'!$D$30/(-'foglio deposito'!$F$29)*(B33^2/2-(-B33)^3/(-6*'foglio deposito'!$F$29)),2*'foglio deposito'!$D$30/(-'foglio deposito'!$F$29)*('foglio deposito'!$F$29^2/2-(-'foglio deposito'!$F$29)^3/(-6*'foglio deposito'!$F$29))+'foglio deposito'!$D$30*(ABS(B33)-ABS('foglio deposito'!$F$29)))</f>
        <v>7.2854839968750007E-3</v>
      </c>
      <c r="E33" s="97">
        <f>IF(ABS(B33)&lt;ABS('foglio deposito'!$F$29),-2*'foglio deposito'!$D$30/(-'foglio deposito'!$F$29)*(-B33^3/3-(B33)^4/(-8*'foglio deposito'!$F$29)),-(2*'foglio deposito'!$D$30/(-'foglio deposito'!$F$29)*(ABS('foglio deposito'!$F$29)^3/3-ABS('foglio deposito'!$F$29)^4/(-8*'foglio deposito'!$F$29))+'foglio deposito'!$D$30/2*(ABS(B33)^2-ABS('foglio deposito'!$F$29)^2)))</f>
        <v>-4.4825994062226568E-6</v>
      </c>
      <c r="F33" s="98">
        <f>D33/('foglio deposito'!$F$22*'foglio deposito'!$L$34)</f>
        <v>0.10748193750000003</v>
      </c>
      <c r="G33" s="98">
        <f t="shared" si="0"/>
        <v>0.34891196834817018</v>
      </c>
      <c r="H33" s="101">
        <f t="shared" si="1"/>
        <v>-6.1527818991097922E-4</v>
      </c>
      <c r="I33" s="30">
        <f t="shared" si="2"/>
        <v>-4.8770114618879825</v>
      </c>
      <c r="J33" s="90"/>
      <c r="L33" s="19"/>
      <c r="M33" s="19"/>
      <c r="N33" s="48"/>
      <c r="O33" s="27"/>
      <c r="P33" s="19"/>
      <c r="Q33" s="19"/>
      <c r="R33" s="19"/>
      <c r="S33" s="19"/>
      <c r="T33" s="19"/>
    </row>
    <row r="34" spans="2:20" x14ac:dyDescent="0.3">
      <c r="B34" s="96">
        <f>'foglio deposito'!$L$34/'foglio deposito'!$B$141*'foglio deposito'!B69</f>
        <v>-9.8000000000000019E-4</v>
      </c>
      <c r="C34" s="30">
        <f>IF(B34&gt;'foglio deposito'!$L$33,2*'foglio deposito'!$F$22/'foglio deposito'!$L$33*(B34-B34^2/(2*'foglio deposito'!$L$33)),'foglio deposito'!$F$22)</f>
        <v>-14.329396666666668</v>
      </c>
      <c r="D34" s="97">
        <f>IF(B34&gt;'foglio deposito'!$F$29,2*'foglio deposito'!$D$30/(-'foglio deposito'!$F$29)*(B34^2/2-(-B34)^3/(-6*'foglio deposito'!$F$29)),2*'foglio deposito'!$D$30/(-'foglio deposito'!$F$29)*('foglio deposito'!$F$29^2/2-(-'foglio deposito'!$F$29)^3/(-6*'foglio deposito'!$F$29))+'foglio deposito'!$D$30*(ABS(B34)-ABS('foglio deposito'!$F$29)))</f>
        <v>7.7808940222222249E-3</v>
      </c>
      <c r="E34" s="97">
        <f>IF(ABS(B34)&lt;ABS('foglio deposito'!$F$29),-2*'foglio deposito'!$D$30/(-'foglio deposito'!$F$29)*(-B34^3/3-(B34)^4/(-8*'foglio deposito'!$F$29)),-(2*'foglio deposito'!$D$30/(-'foglio deposito'!$F$29)*(ABS('foglio deposito'!$F$29)^3/3-ABS('foglio deposito'!$F$29)^4/(-8*'foglio deposito'!$F$29))+'foglio deposito'!$D$30/2*(ABS(B34)^2-ABS('foglio deposito'!$F$29)^2)))</f>
        <v>-4.9594674507777804E-6</v>
      </c>
      <c r="F34" s="98">
        <f>D34/('foglio deposito'!$F$22*'foglio deposito'!$L$34)</f>
        <v>0.11479066666666674</v>
      </c>
      <c r="G34" s="98">
        <f t="shared" si="0"/>
        <v>0.34960159362549803</v>
      </c>
      <c r="H34" s="101">
        <f t="shared" si="1"/>
        <v>-6.3739043824701208E-4</v>
      </c>
      <c r="I34" s="30">
        <f t="shared" si="2"/>
        <v>-5.0095799103585668</v>
      </c>
      <c r="J34" s="90"/>
      <c r="K34" s="19" t="s">
        <v>87</v>
      </c>
      <c r="L34" s="19"/>
      <c r="M34" s="19"/>
      <c r="N34" s="9" t="s">
        <v>86</v>
      </c>
      <c r="O34" s="32">
        <f>IF('foglio deposito'!D33="si",1,DATI!F7)</f>
        <v>0.85</v>
      </c>
      <c r="P34" s="19"/>
      <c r="Q34" s="19"/>
      <c r="R34" s="19"/>
      <c r="S34" s="19"/>
      <c r="T34" s="19"/>
    </row>
    <row r="35" spans="2:20" x14ac:dyDescent="0.3">
      <c r="B35" s="96">
        <f>'foglio deposito'!$L$34/'foglio deposito'!$B$141*'foglio deposito'!B70</f>
        <v>-1.0150000000000001E-3</v>
      </c>
      <c r="C35" s="30">
        <f>IF(B35&gt;'foglio deposito'!$L$33,2*'foglio deposito'!$F$22/'foglio deposito'!$L$33*(B35-B35^2/(2*'foglio deposito'!$L$33)),'foglio deposito'!$F$22)</f>
        <v>-14.669160624999998</v>
      </c>
      <c r="D35" s="97">
        <f>IF(B35&gt;'foglio deposito'!$F$29,2*'foglio deposito'!$D$30/(-'foglio deposito'!$F$29)*(B35^2/2-(-B35)^3/(-6*'foglio deposito'!$F$29)),2*'foglio deposito'!$D$30/(-'foglio deposito'!$F$29)*('foglio deposito'!$F$29^2/2-(-'foglio deposito'!$F$29)^3/(-6*'foglio deposito'!$F$29))+'foglio deposito'!$D$30*(ABS(B35)-ABS('foglio deposito'!$F$29)))</f>
        <v>8.2884033725694455E-3</v>
      </c>
      <c r="E35" s="97">
        <f>IF(ABS(B35)&lt;ABS('foglio deposito'!$F$29),-2*'foglio deposito'!$D$30/(-'foglio deposito'!$F$29)*(-B35^3/3-(B35)^4/(-8*'foglio deposito'!$F$29)),-(2*'foglio deposito'!$D$30/(-'foglio deposito'!$F$29)*(ABS('foglio deposito'!$F$29)^3/3-ABS('foglio deposito'!$F$29)^4/(-8*'foglio deposito'!$F$29))+'foglio deposito'!$D$30/2*(ABS(B35)^2-ABS('foglio deposito'!$F$29)^2)))</f>
        <v>-5.4657427119865457E-6</v>
      </c>
      <c r="F35" s="98">
        <f>D35/('foglio deposito'!$F$22*'foglio deposito'!$L$34)</f>
        <v>0.12227789583333337</v>
      </c>
      <c r="G35" s="98">
        <f t="shared" si="0"/>
        <v>0.35030090270812442</v>
      </c>
      <c r="H35" s="101">
        <f t="shared" si="1"/>
        <v>-6.5944458375125374E-4</v>
      </c>
      <c r="I35" s="30">
        <f t="shared" si="2"/>
        <v>-5.138620208907974</v>
      </c>
      <c r="J35" s="90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x14ac:dyDescent="0.3">
      <c r="B36" s="96">
        <f>'foglio deposito'!$L$34/'foglio deposito'!$B$141*'foglio deposito'!B71</f>
        <v>-1.0500000000000002E-3</v>
      </c>
      <c r="C36" s="30">
        <f>IF(B36&gt;'foglio deposito'!$L$33,2*'foglio deposito'!$F$22/'foglio deposito'!$L$33*(B36-B36^2/(2*'foglio deposito'!$L$33)),'foglio deposito'!$F$22)</f>
        <v>-14.9970625</v>
      </c>
      <c r="D36" s="97">
        <f>IF(B36&gt;'foglio deposito'!$F$29,2*'foglio deposito'!$D$30/(-'foglio deposito'!$F$29)*(B36^2/2-(-B36)^3/(-6*'foglio deposito'!$F$29)),2*'foglio deposito'!$D$30/(-'foglio deposito'!$F$29)*('foglio deposito'!$F$29^2/2-(-'foglio deposito'!$F$29)^3/(-6*'foglio deposito'!$F$29))+'foglio deposito'!$D$30*(ABS(B36)-ABS('foglio deposito'!$F$29)))</f>
        <v>8.8075968750000004E-3</v>
      </c>
      <c r="E36" s="97">
        <f>IF(ABS(B36)&lt;ABS('foglio deposito'!$F$29),-2*'foglio deposito'!$D$30/(-'foglio deposito'!$F$29)*(-B36^3/3-(B36)^4/(-8*'foglio deposito'!$F$29)),-(2*'foglio deposito'!$D$30/(-'foglio deposito'!$F$29)*(ABS('foglio deposito'!$F$29)^3/3-ABS('foglio deposito'!$F$29)^4/(-8*'foglio deposito'!$F$29))+'foglio deposito'!$D$30/2*(ABS(B36)^2-ABS('foglio deposito'!$F$29)^2)))</f>
        <v>-6.0018434765625015E-6</v>
      </c>
      <c r="F36" s="98">
        <f>D36/('foglio deposito'!$F$22*'foglio deposito'!$L$34)</f>
        <v>0.12993750000000004</v>
      </c>
      <c r="G36" s="98">
        <f t="shared" si="0"/>
        <v>0.35101010101010099</v>
      </c>
      <c r="H36" s="101">
        <f t="shared" si="1"/>
        <v>-6.8143939393939406E-4</v>
      </c>
      <c r="I36" s="30">
        <f t="shared" si="2"/>
        <v>-5.264120422979798</v>
      </c>
      <c r="J36" s="90"/>
      <c r="K36" s="19" t="s">
        <v>62</v>
      </c>
      <c r="L36" s="19"/>
      <c r="M36" s="19"/>
      <c r="N36" s="9" t="str">
        <f>IF('foglio deposito'!D33="no","εc2","εc2,c")</f>
        <v>εc2</v>
      </c>
      <c r="O36" s="61">
        <f>IF('foglio deposito'!D33="no",DATI!F30,DATI!F30*(O26/DATI!F9)^2)</f>
        <v>-2</v>
      </c>
      <c r="P36" s="19"/>
      <c r="Q36" s="19"/>
      <c r="R36" s="19"/>
      <c r="S36" s="19"/>
      <c r="T36" s="19"/>
    </row>
    <row r="37" spans="2:20" ht="15.6" x14ac:dyDescent="0.3">
      <c r="B37" s="96">
        <f>'foglio deposito'!$L$34/'foglio deposito'!$B$141*'foglio deposito'!B72</f>
        <v>-1.085E-3</v>
      </c>
      <c r="C37" s="30">
        <f>IF(B37&gt;'foglio deposito'!$L$33,2*'foglio deposito'!$F$22/'foglio deposito'!$L$33*(B37-B37^2/(2*'foglio deposito'!$L$33)),'foglio deposito'!$F$22)</f>
        <v>-15.313102291666665</v>
      </c>
      <c r="D37" s="97">
        <f>IF(B37&gt;'foglio deposito'!$F$29,2*'foglio deposito'!$D$30/(-'foglio deposito'!$F$29)*(B37^2/2-(-B37)^3/(-6*'foglio deposito'!$F$29)),2*'foglio deposito'!$D$30/(-'foglio deposito'!$F$29)*('foglio deposito'!$F$29^2/2-(-'foglio deposito'!$F$29)^3/(-6*'foglio deposito'!$F$29))+'foglio deposito'!$D$30*(ABS(B37)-ABS('foglio deposito'!$F$29)))</f>
        <v>9.3380593565972215E-3</v>
      </c>
      <c r="E37" s="97">
        <f>IF(ABS(B37)&lt;ABS('foglio deposito'!$F$29),-2*'foglio deposito'!$D$30/(-'foglio deposito'!$F$29)*(-B37^3/3-(B37)^4/(-8*'foglio deposito'!$F$29)),-(2*'foglio deposito'!$D$30/(-'foglio deposito'!$F$29)*(ABS('foglio deposito'!$F$29)^3/3-ABS('foglio deposito'!$F$29)^4/(-8*'foglio deposito'!$F$29))+'foglio deposito'!$D$30/2*(ABS(B37)^2-ABS('foglio deposito'!$F$29)^2)))</f>
        <v>-6.5681444380629332E-6</v>
      </c>
      <c r="F37" s="98">
        <f>D37/('foglio deposito'!$F$22*'foglio deposito'!$L$34)</f>
        <v>0.13776335416666668</v>
      </c>
      <c r="G37" s="98">
        <f t="shared" si="0"/>
        <v>0.35172939979654128</v>
      </c>
      <c r="H37" s="101">
        <f t="shared" si="1"/>
        <v>-7.0337360122075274E-4</v>
      </c>
      <c r="I37" s="30">
        <f t="shared" si="2"/>
        <v>-5.3860682780709563</v>
      </c>
      <c r="J37" s="90"/>
      <c r="K37" s="19" t="s">
        <v>44</v>
      </c>
      <c r="L37" s="19"/>
      <c r="M37" s="19"/>
      <c r="N37" s="8" t="str">
        <f>IF('foglio deposito'!D33="no","εcu","εcu,c")</f>
        <v>εcu</v>
      </c>
      <c r="O37" s="61">
        <f>IF('foglio deposito'!D33="no",DATI!F31,DATI!F31+0.2*1/1)</f>
        <v>-3.5</v>
      </c>
      <c r="P37" s="19"/>
      <c r="Q37" s="19"/>
      <c r="R37" s="19"/>
      <c r="S37" s="19"/>
      <c r="T37" s="19"/>
    </row>
    <row r="38" spans="2:20" ht="16.2" thickBot="1" x14ac:dyDescent="0.35">
      <c r="B38" s="96">
        <f>'foglio deposito'!$L$34/'foglio deposito'!$B$141*'foglio deposito'!B73</f>
        <v>-1.1200000000000001E-3</v>
      </c>
      <c r="C38" s="30">
        <f>IF(B38&gt;'foglio deposito'!$L$33,2*'foglio deposito'!$F$22/'foglio deposito'!$L$33*(B38-B38^2/(2*'foglio deposito'!$L$33)),'foglio deposito'!$F$22)</f>
        <v>-15.617279999999999</v>
      </c>
      <c r="D38" s="97">
        <f>IF(B38&gt;'foglio deposito'!$F$29,2*'foglio deposito'!$D$30/(-'foglio deposito'!$F$29)*(B38^2/2-(-B38)^3/(-6*'foglio deposito'!$F$29)),2*'foglio deposito'!$D$30/(-'foglio deposito'!$F$29)*('foglio deposito'!$F$29^2/2-(-'foglio deposito'!$F$29)^3/(-6*'foglio deposito'!$F$29))+'foglio deposito'!$D$30*(ABS(B38)-ABS('foglio deposito'!$F$29)))</f>
        <v>9.879375644444445E-3</v>
      </c>
      <c r="E38" s="97">
        <f>IF(ABS(B38)&lt;ABS('foglio deposito'!$F$29),-2*'foglio deposito'!$D$30/(-'foglio deposito'!$F$29)*(-B38^3/3-(B38)^4/(-8*'foglio deposito'!$F$29)),-(2*'foglio deposito'!$D$30/(-'foglio deposito'!$F$29)*(ABS('foglio deposito'!$F$29)^3/3-ABS('foglio deposito'!$F$29)^4/(-8*'foglio deposito'!$F$29))+'foglio deposito'!$D$30/2*(ABS(B38)^2-ABS('foglio deposito'!$F$29)^2)))</f>
        <v>-7.1649766968888901E-6</v>
      </c>
      <c r="F38" s="98">
        <f>D38/('foglio deposito'!$F$22*'foglio deposito'!$L$34)</f>
        <v>0.14574933333333337</v>
      </c>
      <c r="G38" s="98">
        <f t="shared" si="0"/>
        <v>0.35245901639344257</v>
      </c>
      <c r="H38" s="101">
        <f t="shared" si="1"/>
        <v>-7.2524590163934436E-4</v>
      </c>
      <c r="I38" s="30">
        <f t="shared" si="2"/>
        <v>-5.5044511475409825</v>
      </c>
      <c r="J38" s="90"/>
      <c r="K38" s="23"/>
      <c r="L38" s="23"/>
      <c r="M38" s="23"/>
      <c r="N38" s="91"/>
      <c r="O38" s="92"/>
      <c r="P38" s="19"/>
      <c r="Q38" s="19"/>
      <c r="R38" s="19"/>
      <c r="S38" s="19"/>
      <c r="T38" s="19"/>
    </row>
    <row r="39" spans="2:20" ht="16.8" thickTop="1" thickBot="1" x14ac:dyDescent="0.35">
      <c r="B39" s="96">
        <f>'foglio deposito'!$L$34/'foglio deposito'!$B$141*'foglio deposito'!B74</f>
        <v>-1.1550000000000002E-3</v>
      </c>
      <c r="C39" s="30">
        <f>IF(B39&gt;'foglio deposito'!$L$33,2*'foglio deposito'!$F$22/'foglio deposito'!$L$33*(B39-B39^2/(2*'foglio deposito'!$L$33)),'foglio deposito'!$F$22)</f>
        <v>-15.909595624999998</v>
      </c>
      <c r="D39" s="97">
        <f>IF(B39&gt;'foglio deposito'!$F$29,2*'foglio deposito'!$D$30/(-'foglio deposito'!$F$29)*(B39^2/2-(-B39)^3/(-6*'foglio deposito'!$F$29)),2*'foglio deposito'!$D$30/(-'foglio deposito'!$F$29)*('foglio deposito'!$F$29^2/2-(-'foglio deposito'!$F$29)^3/(-6*'foglio deposito'!$F$29))+'foglio deposito'!$D$30*(ABS(B39)-ABS('foglio deposito'!$F$29)))</f>
        <v>1.0431130565625002E-2</v>
      </c>
      <c r="E39" s="97">
        <f>IF(ABS(B39)&lt;ABS('foglio deposito'!$F$29),-2*'foglio deposito'!$D$30/(-'foglio deposito'!$F$29)*(-B39^3/3-(B39)^4/(-8*'foglio deposito'!$F$29)),-(2*'foglio deposito'!$D$30/(-'foglio deposito'!$F$29)*(ABS('foglio deposito'!$F$29)^3/3-ABS('foglio deposito'!$F$29)^4/(-8*'foglio deposito'!$F$29))+'foglio deposito'!$D$30/2*(ABS(B39)^2-ABS('foglio deposito'!$F$29)^2)))</f>
        <v>-7.79262776028516E-6</v>
      </c>
      <c r="F39" s="98">
        <f>D39/('foglio deposito'!$F$22*'foglio deposito'!$L$34)</f>
        <v>0.15388931250000007</v>
      </c>
      <c r="G39" s="98">
        <f t="shared" ref="G39:G70" si="3">1-(E39/D39)/B39</f>
        <v>0.35319917440660464</v>
      </c>
      <c r="H39" s="101">
        <f t="shared" ref="H39:H70" si="4">E39/D39</f>
        <v>-7.4705495356037176E-4</v>
      </c>
      <c r="I39" s="30">
        <f t="shared" si="2"/>
        <v>-5.6192560398929281</v>
      </c>
      <c r="J39" s="90"/>
      <c r="K39" s="129" t="s">
        <v>88</v>
      </c>
      <c r="L39" s="129"/>
      <c r="M39" s="129"/>
      <c r="N39" s="130"/>
      <c r="O39" s="131" t="s">
        <v>17</v>
      </c>
      <c r="P39" s="19"/>
      <c r="Q39" s="19"/>
      <c r="R39" s="19"/>
      <c r="S39" s="19"/>
      <c r="T39" s="19"/>
    </row>
    <row r="40" spans="2:20" ht="15" customHeight="1" thickTop="1" x14ac:dyDescent="0.3">
      <c r="B40" s="96">
        <f>'foglio deposito'!$L$34/'foglio deposito'!$B$141*'foglio deposito'!B75</f>
        <v>-1.1900000000000001E-3</v>
      </c>
      <c r="C40" s="30">
        <f>IF(B40&gt;'foglio deposito'!$L$33,2*'foglio deposito'!$F$22/'foglio deposito'!$L$33*(B40-B40^2/(2*'foglio deposito'!$L$33)),'foglio deposito'!$F$22)</f>
        <v>-16.190049166666665</v>
      </c>
      <c r="D40" s="97">
        <f>IF(B40&gt;'foglio deposito'!$F$29,2*'foglio deposito'!$D$30/(-'foglio deposito'!$F$29)*(B40^2/2-(-B40)^3/(-6*'foglio deposito'!$F$29)),2*'foglio deposito'!$D$30/(-'foglio deposito'!$F$29)*('foglio deposito'!$F$29^2/2-(-'foglio deposito'!$F$29)^3/(-6*'foglio deposito'!$F$29))+'foglio deposito'!$D$30*(ABS(B40)-ABS('foglio deposito'!$F$29)))</f>
        <v>1.0992908947222223E-2</v>
      </c>
      <c r="E40" s="97">
        <f>IF(ABS(B40)&lt;ABS('foglio deposito'!$F$29),-2*'foglio deposito'!$D$30/(-'foglio deposito'!$F$29)*(-B40^3/3-(B40)^4/(-8*'foglio deposito'!$F$29)),-(2*'foglio deposito'!$D$30/(-'foglio deposito'!$F$29)*(ABS('foglio deposito'!$F$29)^3/3-ABS('foglio deposito'!$F$29)^4/(-8*'foglio deposito'!$F$29))+'foglio deposito'!$D$30/2*(ABS(B40)^2-ABS('foglio deposito'!$F$29)^2)))</f>
        <v>-8.4513415423402786E-6</v>
      </c>
      <c r="F40" s="98">
        <f>D40/('foglio deposito'!$F$22*'foglio deposito'!$L$34)</f>
        <v>0.16217716666666671</v>
      </c>
      <c r="G40" s="98">
        <f t="shared" si="3"/>
        <v>0.35395010395010396</v>
      </c>
      <c r="H40" s="101">
        <f t="shared" si="4"/>
        <v>-7.6879937629937634E-4</v>
      </c>
      <c r="I40" s="30">
        <f t="shared" si="2"/>
        <v>-5.7304695854989598</v>
      </c>
      <c r="J40" s="90"/>
      <c r="P40" s="19"/>
      <c r="Q40" s="19"/>
      <c r="R40" s="19"/>
      <c r="S40" s="19"/>
      <c r="T40" s="19"/>
    </row>
    <row r="41" spans="2:20" ht="14.4" customHeight="1" x14ac:dyDescent="0.3">
      <c r="B41" s="96">
        <f>'foglio deposito'!$L$34/'foglio deposito'!$B$141*'foglio deposito'!B76</f>
        <v>-1.2250000000000002E-3</v>
      </c>
      <c r="C41" s="30">
        <f>IF(B41&gt;'foglio deposito'!$L$33,2*'foglio deposito'!$F$22/'foglio deposito'!$L$33*(B41-B41^2/(2*'foglio deposito'!$L$33)),'foglio deposito'!$F$22)</f>
        <v>-16.458640625000001</v>
      </c>
      <c r="D41" s="97">
        <f>IF(B41&gt;'foglio deposito'!$F$29,2*'foglio deposito'!$D$30/(-'foglio deposito'!$F$29)*(B41^2/2-(-B41)^3/(-6*'foglio deposito'!$F$29)),2*'foglio deposito'!$D$30/(-'foglio deposito'!$F$29)*('foglio deposito'!$F$29^2/2-(-'foglio deposito'!$F$29)^3/(-6*'foglio deposito'!$F$29))+'foglio deposito'!$D$30*(ABS(B41)-ABS('foglio deposito'!$F$29)))</f>
        <v>1.1564295616319444E-2</v>
      </c>
      <c r="E41" s="97">
        <f>IF(ABS(B41)&lt;ABS('foglio deposito'!$F$29),-2*'foglio deposito'!$D$30/(-'foglio deposito'!$F$29)*(-B41^3/3-(B41)^4/(-8*'foglio deposito'!$F$29)),-(2*'foglio deposito'!$D$30/(-'foglio deposito'!$F$29)*(ABS('foglio deposito'!$F$29)^3/3-ABS('foglio deposito'!$F$29)^4/(-8*'foglio deposito'!$F$29))+'foglio deposito'!$D$30/2*(ABS(B41)^2-ABS('foglio deposito'!$F$29)^2)))</f>
        <v>-9.1413183639865484E-6</v>
      </c>
      <c r="F41" s="98">
        <f>D41/('foglio deposito'!$F$22*'foglio deposito'!$L$34)</f>
        <v>0.17060677083333337</v>
      </c>
      <c r="G41" s="98">
        <f t="shared" si="3"/>
        <v>0.35471204188481653</v>
      </c>
      <c r="H41" s="101">
        <f t="shared" si="4"/>
        <v>-7.9047774869109983E-4</v>
      </c>
      <c r="I41" s="30">
        <f t="shared" si="2"/>
        <v>-5.8380780227421436</v>
      </c>
      <c r="J41" s="90"/>
      <c r="K41" s="127"/>
      <c r="L41" s="127"/>
      <c r="M41" s="127"/>
      <c r="N41" s="127"/>
      <c r="O41" s="128"/>
      <c r="P41" s="19"/>
      <c r="Q41" s="19"/>
      <c r="R41" s="19"/>
      <c r="S41" s="19"/>
      <c r="T41" s="19"/>
    </row>
    <row r="42" spans="2:20" ht="15" customHeight="1" x14ac:dyDescent="0.3">
      <c r="B42" s="96">
        <f>'foglio deposito'!$L$34/'foglio deposito'!$B$141*'foglio deposito'!B77</f>
        <v>-1.2600000000000001E-3</v>
      </c>
      <c r="C42" s="30">
        <f>IF(B42&gt;'foglio deposito'!$L$33,2*'foglio deposito'!$F$22/'foglio deposito'!$L$33*(B42-B42^2/(2*'foglio deposito'!$L$33)),'foglio deposito'!$F$22)</f>
        <v>-16.71537</v>
      </c>
      <c r="D42" s="97">
        <f>IF(B42&gt;'foglio deposito'!$F$29,2*'foglio deposito'!$D$30/(-'foglio deposito'!$F$29)*(B42^2/2-(-B42)^3/(-6*'foglio deposito'!$F$29)),2*'foglio deposito'!$D$30/(-'foglio deposito'!$F$29)*('foglio deposito'!$F$29^2/2-(-'foglio deposito'!$F$29)^3/(-6*'foglio deposito'!$F$29))+'foglio deposito'!$D$30*(ABS(B42)-ABS('foglio deposito'!$F$29)))</f>
        <v>1.21448754E-2</v>
      </c>
      <c r="E42" s="97">
        <f>IF(ABS(B42)&lt;ABS('foglio deposito'!$F$29),-2*'foglio deposito'!$D$30/(-'foglio deposito'!$F$29)*(-B42^3/3-(B42)^4/(-8*'foglio deposito'!$F$29)),-(2*'foglio deposito'!$D$30/(-'foglio deposito'!$F$29)*(ABS('foglio deposito'!$F$29)^3/3-ABS('foglio deposito'!$F$29)^4/(-8*'foglio deposito'!$F$29))+'foglio deposito'!$D$30/2*(ABS(B42)^2-ABS('foglio deposito'!$F$29)^2)))</f>
        <v>-9.8627149529999991E-6</v>
      </c>
      <c r="F42" s="98">
        <f>D42/('foglio deposito'!$F$22*'foglio deposito'!$L$34)</f>
        <v>0.17917200000000003</v>
      </c>
      <c r="G42" s="98">
        <f t="shared" si="3"/>
        <v>0.35548523206751059</v>
      </c>
      <c r="H42" s="101">
        <f t="shared" si="4"/>
        <v>-8.1208860759493669E-4</v>
      </c>
      <c r="I42" s="30">
        <f t="shared" si="2"/>
        <v>-5.9420671835443049</v>
      </c>
      <c r="J42" s="90"/>
      <c r="K42" s="127"/>
      <c r="L42" s="127"/>
      <c r="M42" s="127"/>
      <c r="N42" s="127"/>
      <c r="O42" s="128"/>
      <c r="P42" s="19"/>
      <c r="Q42" s="19"/>
      <c r="R42" s="19"/>
      <c r="S42" s="19"/>
      <c r="T42" s="19"/>
    </row>
    <row r="43" spans="2:20" x14ac:dyDescent="0.3">
      <c r="B43" s="96">
        <f>'foglio deposito'!$L$34/'foglio deposito'!$B$141*'foglio deposito'!B78</f>
        <v>-1.2950000000000001E-3</v>
      </c>
      <c r="C43" s="30">
        <f>IF(B43&gt;'foglio deposito'!$L$33,2*'foglio deposito'!$F$22/'foglio deposito'!$L$33*(B43-B43^2/(2*'foglio deposito'!$L$33)),'foglio deposito'!$F$22)</f>
        <v>-16.960237291666665</v>
      </c>
      <c r="D43" s="97">
        <f>IF(B43&gt;'foglio deposito'!$F$29,2*'foglio deposito'!$D$30/(-'foglio deposito'!$F$29)*(B43^2/2-(-B43)^3/(-6*'foglio deposito'!$F$29)),2*'foglio deposito'!$D$30/(-'foglio deposito'!$F$29)*('foglio deposito'!$F$29^2/2-(-'foglio deposito'!$F$29)^3/(-6*'foglio deposito'!$F$29))+'foglio deposito'!$D$30*(ABS(B43)-ABS('foglio deposito'!$F$29)))</f>
        <v>1.2734233125347223E-2</v>
      </c>
      <c r="E43" s="97">
        <f>IF(ABS(B43)&lt;ABS('foglio deposito'!$F$29),-2*'foglio deposito'!$D$30/(-'foglio deposito'!$F$29)*(-B43^3/3-(B43)^4/(-8*'foglio deposito'!$F$29)),-(2*'foglio deposito'!$D$30/(-'foglio deposito'!$F$29)*(ABS('foglio deposito'!$F$29)^3/3-ABS('foglio deposito'!$F$29)^4/(-8*'foglio deposito'!$F$29))+'foglio deposito'!$D$30/2*(ABS(B43)^2-ABS('foglio deposito'!$F$29)^2)))</f>
        <v>-1.0615644444000437E-5</v>
      </c>
      <c r="F43" s="98">
        <f>D43/('foglio deposito'!$F$22*'foglio deposito'!$L$34)</f>
        <v>0.18786672916666672</v>
      </c>
      <c r="G43" s="98">
        <f t="shared" si="3"/>
        <v>0.35626992561105209</v>
      </c>
      <c r="H43" s="101">
        <f t="shared" si="4"/>
        <v>-8.336304463336877E-4</v>
      </c>
      <c r="I43" s="30">
        <f t="shared" si="2"/>
        <v>-6.0424224782478744</v>
      </c>
      <c r="J43" s="90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x14ac:dyDescent="0.3">
      <c r="B44" s="96">
        <f>'foglio deposito'!$L$34/'foglio deposito'!$B$141*'foglio deposito'!B79</f>
        <v>-1.3300000000000002E-3</v>
      </c>
      <c r="C44" s="30">
        <f>IF(B44&gt;'foglio deposito'!$L$33,2*'foglio deposito'!$F$22/'foglio deposito'!$L$33*(B44-B44^2/(2*'foglio deposito'!$L$33)),'foglio deposito'!$F$22)</f>
        <v>-17.1932425</v>
      </c>
      <c r="D44" s="97">
        <f>IF(B44&gt;'foglio deposito'!$F$29,2*'foglio deposito'!$D$30/(-'foglio deposito'!$F$29)*(B44^2/2-(-B44)^3/(-6*'foglio deposito'!$F$29)),2*'foglio deposito'!$D$30/(-'foglio deposito'!$F$29)*('foglio deposito'!$F$29^2/2-(-'foglio deposito'!$F$29)^3/(-6*'foglio deposito'!$F$29))+'foglio deposito'!$D$30*(ABS(B44)-ABS('foglio deposito'!$F$29)))</f>
        <v>1.3331953619444448E-2</v>
      </c>
      <c r="E44" s="97">
        <f>IF(ABS(B44)&lt;ABS('foglio deposito'!$F$29),-2*'foglio deposito'!$D$30/(-'foglio deposito'!$F$29)*(-B44^3/3-(B44)^4/(-8*'foglio deposito'!$F$29)),-(2*'foglio deposito'!$D$30/(-'foglio deposito'!$F$29)*(ABS('foglio deposito'!$F$29)^3/3-ABS('foglio deposito'!$F$29)^4/(-8*'foglio deposito'!$F$29))+'foglio deposito'!$D$30/2*(ABS(B44)^2-ABS('foglio deposito'!$F$29)^2)))</f>
        <v>-1.1400176378451391E-5</v>
      </c>
      <c r="F44" s="98">
        <f>D44/('foglio deposito'!$F$22*'foglio deposito'!$L$34)</f>
        <v>0.19668483333333342</v>
      </c>
      <c r="G44" s="98">
        <f t="shared" si="3"/>
        <v>0.35706638115631706</v>
      </c>
      <c r="H44" s="101">
        <f t="shared" si="4"/>
        <v>-8.5510171306209845E-4</v>
      </c>
      <c r="I44" s="30">
        <f t="shared" si="2"/>
        <v>-6.1391288798179895</v>
      </c>
      <c r="J44" s="90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2:20" x14ac:dyDescent="0.3">
      <c r="B45" s="96">
        <f>'foglio deposito'!$L$34/'foglio deposito'!$B$141*'foglio deposito'!B80</f>
        <v>-1.3650000000000001E-3</v>
      </c>
      <c r="C45" s="30">
        <f>IF(B45&gt;'foglio deposito'!$L$33,2*'foglio deposito'!$F$22/'foglio deposito'!$L$33*(B45-B45^2/(2*'foglio deposito'!$L$33)),'foglio deposito'!$F$22)</f>
        <v>-17.414385624999998</v>
      </c>
      <c r="D45" s="97">
        <f>IF(B45&gt;'foglio deposito'!$F$29,2*'foglio deposito'!$D$30/(-'foglio deposito'!$F$29)*(B45^2/2-(-B45)^3/(-6*'foglio deposito'!$F$29)),2*'foglio deposito'!$D$30/(-'foglio deposito'!$F$29)*('foglio deposito'!$F$29^2/2-(-'foglio deposito'!$F$29)^3/(-6*'foglio deposito'!$F$29))+'foglio deposito'!$D$30*(ABS(B45)-ABS('foglio deposito'!$F$29)))</f>
        <v>1.3937621709375E-2</v>
      </c>
      <c r="E45" s="97">
        <f>IF(ABS(B45)&lt;ABS('foglio deposito'!$F$29),-2*'foglio deposito'!$D$30/(-'foglio deposito'!$F$29)*(-B45^3/3-(B45)^4/(-8*'foglio deposito'!$F$29)),-(2*'foglio deposito'!$D$30/(-'foglio deposito'!$F$29)*(ABS('foglio deposito'!$F$29)^3/3-ABS('foglio deposito'!$F$29)^4/(-8*'foglio deposito'!$F$29))+'foglio deposito'!$D$30/2*(ABS(B45)^2-ABS('foglio deposito'!$F$29)^2)))</f>
        <v>-1.2216336704660158E-5</v>
      </c>
      <c r="F45" s="98">
        <f>D45/('foglio deposito'!$F$22*'foglio deposito'!$L$34)</f>
        <v>0.20562018750000005</v>
      </c>
      <c r="G45" s="98">
        <f t="shared" si="3"/>
        <v>0.35787486515641853</v>
      </c>
      <c r="H45" s="101">
        <f t="shared" si="4"/>
        <v>-8.7650080906148881E-4</v>
      </c>
      <c r="I45" s="30">
        <f t="shared" si="2"/>
        <v>-6.2321709073287472</v>
      </c>
      <c r="J45" s="90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2:20" x14ac:dyDescent="0.3">
      <c r="B46" s="96">
        <f>'foglio deposito'!$L$34/'foglio deposito'!$B$141*'foglio deposito'!B81</f>
        <v>-1.4000000000000002E-3</v>
      </c>
      <c r="C46" s="30">
        <f>IF(B46&gt;'foglio deposito'!$L$33,2*'foglio deposito'!$F$22/'foglio deposito'!$L$33*(B46-B46^2/(2*'foglio deposito'!$L$33)),'foglio deposito'!$F$22)</f>
        <v>-17.623666666666665</v>
      </c>
      <c r="D46" s="97">
        <f>IF(B46&gt;'foglio deposito'!$F$29,2*'foglio deposito'!$D$30/(-'foglio deposito'!$F$29)*(B46^2/2-(-B46)^3/(-6*'foglio deposito'!$F$29)),2*'foglio deposito'!$D$30/(-'foglio deposito'!$F$29)*('foglio deposito'!$F$29^2/2-(-'foglio deposito'!$F$29)^3/(-6*'foglio deposito'!$F$29))+'foglio deposito'!$D$30*(ABS(B46)-ABS('foglio deposito'!$F$29)))</f>
        <v>1.4550822222222226E-2</v>
      </c>
      <c r="E46" s="97">
        <f>IF(ABS(B46)&lt;ABS('foglio deposito'!$F$29),-2*'foglio deposito'!$D$30/(-'foglio deposito'!$F$29)*(-B46^3/3-(B46)^4/(-8*'foglio deposito'!$F$29)),-(2*'foglio deposito'!$D$30/(-'foglio deposito'!$F$29)*(ABS('foglio deposito'!$F$29)^3/3-ABS('foglio deposito'!$F$29)^4/(-8*'foglio deposito'!$F$29))+'foglio deposito'!$D$30/2*(ABS(B46)^2-ABS('foglio deposito'!$F$29)^2)))</f>
        <v>-1.3064107777777782E-5</v>
      </c>
      <c r="F46" s="98">
        <f>D46/('foglio deposito'!$F$22*'foglio deposito'!$L$34)</f>
        <v>0.21466666666666678</v>
      </c>
      <c r="G46" s="98">
        <f t="shared" si="3"/>
        <v>0.35869565217391308</v>
      </c>
      <c r="H46" s="101">
        <f t="shared" si="4"/>
        <v>-8.9782608695652174E-4</v>
      </c>
      <c r="I46" s="30">
        <f t="shared" si="2"/>
        <v>-6.3215326086956525</v>
      </c>
      <c r="J46" s="90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2:20" x14ac:dyDescent="0.3">
      <c r="B47" s="96">
        <f>'foglio deposito'!$L$34/'foglio deposito'!$B$141*'foglio deposito'!B82</f>
        <v>-1.4350000000000001E-3</v>
      </c>
      <c r="C47" s="30">
        <f>IF(B47&gt;'foglio deposito'!$L$33,2*'foglio deposito'!$F$22/'foglio deposito'!$L$33*(B47-B47^2/(2*'foglio deposito'!$L$33)),'foglio deposito'!$F$22)</f>
        <v>-17.821085624999998</v>
      </c>
      <c r="D47" s="97">
        <f>IF(B47&gt;'foglio deposito'!$F$29,2*'foglio deposito'!$D$30/(-'foglio deposito'!$F$29)*(B47^2/2-(-B47)^3/(-6*'foglio deposito'!$F$29)),2*'foglio deposito'!$D$30/(-'foglio deposito'!$F$29)*('foglio deposito'!$F$29^2/2-(-'foglio deposito'!$F$29)^3/(-6*'foglio deposito'!$F$29))+'foglio deposito'!$D$30*(ABS(B47)-ABS('foglio deposito'!$F$29)))</f>
        <v>1.5171139985069443E-2</v>
      </c>
      <c r="E47" s="97">
        <f>IF(ABS(B47)&lt;ABS('foglio deposito'!$F$29),-2*'foglio deposito'!$D$30/(-'foglio deposito'!$F$29)*(-B47^3/3-(B47)^4/(-8*'foglio deposito'!$F$29)),-(2*'foglio deposito'!$D$30/(-'foglio deposito'!$F$29)*(ABS('foglio deposito'!$F$29)^3/3-ABS('foglio deposito'!$F$29)^4/(-8*'foglio deposito'!$F$29))+'foglio deposito'!$D$30/2*(ABS(B47)^2-ABS('foglio deposito'!$F$29)^2)))</f>
        <v>-1.3943428359799043E-5</v>
      </c>
      <c r="F47" s="98">
        <f>D47/('foglio deposito'!$F$22*'foglio deposito'!$L$34)</f>
        <v>0.22381814583333334</v>
      </c>
      <c r="G47" s="98">
        <f t="shared" si="3"/>
        <v>0.35952902519167584</v>
      </c>
      <c r="H47" s="101">
        <f t="shared" si="4"/>
        <v>-9.1907584884994519E-4</v>
      </c>
      <c r="I47" s="30">
        <f t="shared" si="2"/>
        <v>-6.4071975426136367</v>
      </c>
      <c r="J47" s="90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2:20" x14ac:dyDescent="0.3">
      <c r="B48" s="96">
        <f>'foglio deposito'!$L$34/'foglio deposito'!$B$141*'foglio deposito'!B83</f>
        <v>-1.4700000000000002E-3</v>
      </c>
      <c r="C48" s="30">
        <f>IF(B48&gt;'foglio deposito'!$L$33,2*'foglio deposito'!$F$22/'foglio deposito'!$L$33*(B48-B48^2/(2*'foglio deposito'!$L$33)),'foglio deposito'!$F$22)</f>
        <v>-18.006642499999998</v>
      </c>
      <c r="D48" s="97">
        <f>IF(B48&gt;'foglio deposito'!$F$29,2*'foglio deposito'!$D$30/(-'foglio deposito'!$F$29)*(B48^2/2-(-B48)^3/(-6*'foglio deposito'!$F$29)),2*'foglio deposito'!$D$30/(-'foglio deposito'!$F$29)*('foglio deposito'!$F$29^2/2-(-'foglio deposito'!$F$29)^3/(-6*'foglio deposito'!$F$29))+'foglio deposito'!$D$30*(ABS(B48)-ABS('foglio deposito'!$F$29)))</f>
        <v>1.5798159824999998E-2</v>
      </c>
      <c r="E48" s="97">
        <f>IF(ABS(B48)&lt;ABS('foglio deposito'!$F$29),-2*'foglio deposito'!$D$30/(-'foglio deposito'!$F$29)*(-B48^3/3-(B48)^4/(-8*'foglio deposito'!$F$29)),-(2*'foglio deposito'!$D$30/(-'foglio deposito'!$F$29)*(ABS('foglio deposito'!$F$29)^3/3-ABS('foglio deposito'!$F$29)^4/(-8*'foglio deposito'!$F$29))+'foglio deposito'!$D$30/2*(ABS(B48)^2-ABS('foglio deposito'!$F$29)^2)))</f>
        <v>-1.4854193619562502E-5</v>
      </c>
      <c r="F48" s="98">
        <f>D48/('foglio deposito'!$F$22*'foglio deposito'!$L$34)</f>
        <v>0.23306850000000001</v>
      </c>
      <c r="G48" s="98">
        <f t="shared" si="3"/>
        <v>0.36037527593818974</v>
      </c>
      <c r="H48" s="101">
        <f t="shared" si="4"/>
        <v>-9.4024834437086112E-4</v>
      </c>
      <c r="I48" s="30">
        <f t="shared" si="2"/>
        <v>-6.4891487596578346</v>
      </c>
      <c r="J48" s="90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2:20" x14ac:dyDescent="0.3">
      <c r="B49" s="96">
        <f>'foglio deposito'!$L$34/'foglio deposito'!$B$141*'foglio deposito'!B84</f>
        <v>-1.5050000000000003E-3</v>
      </c>
      <c r="C49" s="30">
        <f>IF(B49&gt;'foglio deposito'!$L$33,2*'foglio deposito'!$F$22/'foglio deposito'!$L$33*(B49-B49^2/(2*'foglio deposito'!$L$33)),'foglio deposito'!$F$22)</f>
        <v>-18.180337291666664</v>
      </c>
      <c r="D49" s="97">
        <f>IF(B49&gt;'foglio deposito'!$F$29,2*'foglio deposito'!$D$30/(-'foglio deposito'!$F$29)*(B49^2/2-(-B49)^3/(-6*'foglio deposito'!$F$29)),2*'foglio deposito'!$D$30/(-'foglio deposito'!$F$29)*('foglio deposito'!$F$29^2/2-(-'foglio deposito'!$F$29)^3/(-6*'foglio deposito'!$F$29))+'foglio deposito'!$D$30*(ABS(B49)-ABS('foglio deposito'!$F$29)))</f>
        <v>1.6431466569097223E-2</v>
      </c>
      <c r="E49" s="97">
        <f>IF(ABS(B49)&lt;ABS('foglio deposito'!$F$29),-2*'foglio deposito'!$D$30/(-'foglio deposito'!$F$29)*(-B49^3/3-(B49)^4/(-8*'foglio deposito'!$F$29)),-(2*'foglio deposito'!$D$30/(-'foglio deposito'!$F$29)*(ABS('foglio deposito'!$F$29)^3/3-ABS('foglio deposito'!$F$29)^4/(-8*'foglio deposito'!$F$29))+'foglio deposito'!$D$30/2*(ABS(B49)^2-ABS('foglio deposito'!$F$29)^2)))</f>
        <v>-1.5796255132750436E-5</v>
      </c>
      <c r="F49" s="98">
        <f>D49/('foglio deposito'!$F$22*'foglio deposito'!$L$34)</f>
        <v>0.24241160416666671</v>
      </c>
      <c r="G49" s="98">
        <f t="shared" si="3"/>
        <v>0.36123470522803125</v>
      </c>
      <c r="H49" s="101">
        <f t="shared" si="4"/>
        <v>-9.6134176863181314E-4</v>
      </c>
      <c r="I49" s="30">
        <f t="shared" si="2"/>
        <v>-6.5673687825013909</v>
      </c>
      <c r="J49" s="90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2:20" x14ac:dyDescent="0.3">
      <c r="B50" s="96">
        <f>'foglio deposito'!$L$34/'foglio deposito'!$B$141*'foglio deposito'!B85</f>
        <v>-1.5400000000000001E-3</v>
      </c>
      <c r="C50" s="30">
        <f>IF(B50&gt;'foglio deposito'!$L$33,2*'foglio deposito'!$F$22/'foglio deposito'!$L$33*(B50-B50^2/(2*'foglio deposito'!$L$33)),'foglio deposito'!$F$22)</f>
        <v>-18.342169999999999</v>
      </c>
      <c r="D50" s="97">
        <f>IF(B50&gt;'foglio deposito'!$F$29,2*'foglio deposito'!$D$30/(-'foglio deposito'!$F$29)*(B50^2/2-(-B50)^3/(-6*'foglio deposito'!$F$29)),2*'foglio deposito'!$D$30/(-'foglio deposito'!$F$29)*('foglio deposito'!$F$29^2/2-(-'foglio deposito'!$F$29)^3/(-6*'foglio deposito'!$F$29))+'foglio deposito'!$D$30*(ABS(B50)-ABS('foglio deposito'!$F$29)))</f>
        <v>1.7070645044444444E-2</v>
      </c>
      <c r="E50" s="97">
        <f>IF(ABS(B50)&lt;ABS('foglio deposito'!$F$29),-2*'foglio deposito'!$D$30/(-'foglio deposito'!$F$29)*(-B50^3/3-(B50)^4/(-8*'foglio deposito'!$F$29)),-(2*'foglio deposito'!$D$30/(-'foglio deposito'!$F$29)*(ABS('foglio deposito'!$F$29)^3/3-ABS('foglio deposito'!$F$29)^4/(-8*'foglio deposito'!$F$29))+'foglio deposito'!$D$30/2*(ABS(B50)^2-ABS('foglio deposito'!$F$29)^2)))</f>
        <v>-1.6769420881888889E-5</v>
      </c>
      <c r="F50" s="98">
        <f>D50/('foglio deposito'!$F$22*'foglio deposito'!$L$34)</f>
        <v>0.25184133333333336</v>
      </c>
      <c r="G50" s="98">
        <f t="shared" si="3"/>
        <v>0.36210762331838575</v>
      </c>
      <c r="H50" s="101">
        <f t="shared" si="4"/>
        <v>-9.8235426008968607E-4</v>
      </c>
      <c r="I50" s="30">
        <f t="shared" si="2"/>
        <v>-6.6418395852017955</v>
      </c>
      <c r="J50" s="90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2:20" x14ac:dyDescent="0.3">
      <c r="B51" s="96">
        <f>'foglio deposito'!$L$34/'foglio deposito'!$B$141*'foglio deposito'!B86</f>
        <v>-1.5750000000000002E-3</v>
      </c>
      <c r="C51" s="30">
        <f>IF(B51&gt;'foglio deposito'!$L$33,2*'foglio deposito'!$F$22/'foglio deposito'!$L$33*(B51-B51^2/(2*'foglio deposito'!$L$33)),'foglio deposito'!$F$22)</f>
        <v>-18.492140624999998</v>
      </c>
      <c r="D51" s="97">
        <f>IF(B51&gt;'foglio deposito'!$F$29,2*'foglio deposito'!$D$30/(-'foglio deposito'!$F$29)*(B51^2/2-(-B51)^3/(-6*'foglio deposito'!$F$29)),2*'foglio deposito'!$D$30/(-'foglio deposito'!$F$29)*('foglio deposito'!$F$29^2/2-(-'foglio deposito'!$F$29)^3/(-6*'foglio deposito'!$F$29))+'foglio deposito'!$D$30*(ABS(B51)-ABS('foglio deposito'!$F$29)))</f>
        <v>1.7715280078125003E-2</v>
      </c>
      <c r="E51" s="97">
        <f>IF(ABS(B51)&lt;ABS('foglio deposito'!$F$29),-2*'foglio deposito'!$D$30/(-'foglio deposito'!$F$29)*(-B51^3/3-(B51)^4/(-8*'foglio deposito'!$F$29)),-(2*'foglio deposito'!$D$30/(-'foglio deposito'!$F$29)*(ABS('foglio deposito'!$F$29)^3/3-ABS('foglio deposito'!$F$29)^4/(-8*'foglio deposito'!$F$29))+'foglio deposito'!$D$30/2*(ABS(B51)^2-ABS('foglio deposito'!$F$29)^2)))</f>
        <v>-1.7773455256347663E-5</v>
      </c>
      <c r="F51" s="98">
        <f>D51/('foglio deposito'!$F$22*'foglio deposito'!$L$34)</f>
        <v>0.26135156250000008</v>
      </c>
      <c r="G51" s="98">
        <f t="shared" si="3"/>
        <v>0.36299435028248583</v>
      </c>
      <c r="H51" s="101">
        <f t="shared" si="4"/>
        <v>-1.003283898305085E-3</v>
      </c>
      <c r="I51" s="30">
        <f t="shared" si="2"/>
        <v>-6.7125425715042359</v>
      </c>
      <c r="J51" s="90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2:20" x14ac:dyDescent="0.3">
      <c r="B52" s="96">
        <f>'foglio deposito'!$L$34/'foglio deposito'!$B$141*'foglio deposito'!B87</f>
        <v>-1.6100000000000001E-3</v>
      </c>
      <c r="C52" s="30">
        <f>IF(B52&gt;'foglio deposito'!$L$33,2*'foglio deposito'!$F$22/'foglio deposito'!$L$33*(B52-B52^2/(2*'foglio deposito'!$L$33)),'foglio deposito'!$F$22)</f>
        <v>-18.630249166666665</v>
      </c>
      <c r="D52" s="97">
        <f>IF(B52&gt;'foglio deposito'!$F$29,2*'foglio deposito'!$D$30/(-'foglio deposito'!$F$29)*(B52^2/2-(-B52)^3/(-6*'foglio deposito'!$F$29)),2*'foglio deposito'!$D$30/(-'foglio deposito'!$F$29)*('foglio deposito'!$F$29^2/2-(-'foglio deposito'!$F$29)^3/(-6*'foglio deposito'!$F$29))+'foglio deposito'!$D$30*(ABS(B52)-ABS('foglio deposito'!$F$29)))</f>
        <v>1.836495649722222E-2</v>
      </c>
      <c r="E52" s="97">
        <f>IF(ABS(B52)&lt;ABS('foglio deposito'!$F$29),-2*'foglio deposito'!$D$30/(-'foglio deposito'!$F$29)*(-B52^3/3-(B52)^4/(-8*'foglio deposito'!$F$29)),-(2*'foglio deposito'!$D$30/(-'foglio deposito'!$F$29)*(ABS('foglio deposito'!$F$29)^3/3-ABS('foglio deposito'!$F$29)^4/(-8*'foglio deposito'!$F$29))+'foglio deposito'!$D$30/2*(ABS(B52)^2-ABS('foglio deposito'!$F$29)^2)))</f>
        <v>-1.8808079052340276E-5</v>
      </c>
      <c r="F52" s="98">
        <f>D52/('foglio deposito'!$F$22*'foglio deposito'!$L$34)</f>
        <v>0.2709361666666667</v>
      </c>
      <c r="G52" s="98">
        <f t="shared" si="3"/>
        <v>0.36389521640091116</v>
      </c>
      <c r="H52" s="101">
        <f t="shared" si="4"/>
        <v>-1.0241287015945331E-3</v>
      </c>
      <c r="I52" s="30">
        <f t="shared" si="2"/>
        <v>-6.7794585521070614</v>
      </c>
      <c r="J52" s="90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2:20" x14ac:dyDescent="0.3">
      <c r="B53" s="96">
        <f>'foglio deposito'!$L$34/'foglio deposito'!$B$141*'foglio deposito'!B88</f>
        <v>-1.6450000000000002E-3</v>
      </c>
      <c r="C53" s="30">
        <f>IF(B53&gt;'foglio deposito'!$L$33,2*'foglio deposito'!$F$22/'foglio deposito'!$L$33*(B53-B53^2/(2*'foglio deposito'!$L$33)),'foglio deposito'!$F$22)</f>
        <v>-18.756495624999999</v>
      </c>
      <c r="D53" s="97">
        <f>IF(B53&gt;'foglio deposito'!$F$29,2*'foglio deposito'!$D$30/(-'foglio deposito'!$F$29)*(B53^2/2-(-B53)^3/(-6*'foglio deposito'!$F$29)),2*'foglio deposito'!$D$30/(-'foglio deposito'!$F$29)*('foglio deposito'!$F$29^2/2-(-'foglio deposito'!$F$29)^3/(-6*'foglio deposito'!$F$29))+'foglio deposito'!$D$30*(ABS(B53)-ABS('foglio deposito'!$F$29)))</f>
        <v>1.9019259128819448E-2</v>
      </c>
      <c r="E53" s="97">
        <f>IF(ABS(B53)&lt;ABS('foglio deposito'!$F$29),-2*'foglio deposito'!$D$30/(-'foglio deposito'!$F$29)*(-B53^3/3-(B53)^4/(-8*'foglio deposito'!$F$29)),-(2*'foglio deposito'!$D$30/(-'foglio deposito'!$F$29)*(ABS('foglio deposito'!$F$29)^3/3-ABS('foglio deposito'!$F$29)^4/(-8*'foglio deposito'!$F$29))+'foglio deposito'!$D$30/2*(ABS(B53)^2-ABS('foglio deposito'!$F$29)^2)))</f>
        <v>-1.9872969472924047E-5</v>
      </c>
      <c r="F53" s="98">
        <f>D53/('foglio deposito'!$F$22*'foglio deposito'!$L$34)</f>
        <v>0.28058902083333342</v>
      </c>
      <c r="G53" s="98">
        <f t="shared" si="3"/>
        <v>0.36481056257175681</v>
      </c>
      <c r="H53" s="101">
        <f t="shared" si="4"/>
        <v>-1.0448866245694602E-3</v>
      </c>
      <c r="I53" s="30">
        <f t="shared" si="2"/>
        <v>-6.842567720830945</v>
      </c>
      <c r="J53" s="90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2:20" x14ac:dyDescent="0.3">
      <c r="B54" s="96">
        <f>'foglio deposito'!$L$34/'foglio deposito'!$B$141*'foglio deposito'!B89</f>
        <v>-1.6800000000000001E-3</v>
      </c>
      <c r="C54" s="30">
        <f>IF(B54&gt;'foglio deposito'!$L$33,2*'foglio deposito'!$F$22/'foglio deposito'!$L$33*(B54-B54^2/(2*'foglio deposito'!$L$33)),'foglio deposito'!$F$22)</f>
        <v>-18.87088</v>
      </c>
      <c r="D54" s="97">
        <f>IF(B54&gt;'foglio deposito'!$F$29,2*'foglio deposito'!$D$30/(-'foglio deposito'!$F$29)*(B54^2/2-(-B54)^3/(-6*'foglio deposito'!$F$29)),2*'foglio deposito'!$D$30/(-'foglio deposito'!$F$29)*('foglio deposito'!$F$29^2/2-(-'foglio deposito'!$F$29)^3/(-6*'foglio deposito'!$F$29))+'foglio deposito'!$D$30*(ABS(B54)-ABS('foglio deposito'!$F$29)))</f>
        <v>1.96777728E-2</v>
      </c>
      <c r="E54" s="97">
        <f>IF(ABS(B54)&lt;ABS('foglio deposito'!$F$29),-2*'foglio deposito'!$D$30/(-'foglio deposito'!$F$29)*(-B54^3/3-(B54)^4/(-8*'foglio deposito'!$F$29)),-(2*'foglio deposito'!$D$30/(-'foglio deposito'!$F$29)*(ABS('foglio deposito'!$F$29)^3/3-ABS('foglio deposito'!$F$29)^4/(-8*'foglio deposito'!$F$29))+'foglio deposito'!$D$30/2*(ABS(B54)^2-ABS('foglio deposito'!$F$29)^2)))</f>
        <v>-2.0967760128E-5</v>
      </c>
      <c r="F54" s="98">
        <f>D54/('foglio deposito'!$F$22*'foglio deposito'!$L$34)</f>
        <v>0.29030400000000006</v>
      </c>
      <c r="G54" s="98">
        <f t="shared" si="3"/>
        <v>0.36574074074074081</v>
      </c>
      <c r="H54" s="101">
        <f t="shared" si="4"/>
        <v>-1.0655555555555555E-3</v>
      </c>
      <c r="I54" s="30">
        <f t="shared" si="2"/>
        <v>-6.9018496296296306</v>
      </c>
      <c r="J54" s="90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2:20" x14ac:dyDescent="0.3">
      <c r="B55" s="96">
        <f>'foglio deposito'!$L$34/'foglio deposito'!$B$141*'foglio deposito'!B90</f>
        <v>-1.7150000000000002E-3</v>
      </c>
      <c r="C55" s="30">
        <f>IF(B55&gt;'foglio deposito'!$L$33,2*'foglio deposito'!$F$22/'foglio deposito'!$L$33*(B55-B55^2/(2*'foglio deposito'!$L$33)),'foglio deposito'!$F$22)</f>
        <v>-18.973402291666666</v>
      </c>
      <c r="D55" s="97">
        <f>IF(B55&gt;'foglio deposito'!$F$29,2*'foglio deposito'!$D$30/(-'foglio deposito'!$F$29)*(B55^2/2-(-B55)^3/(-6*'foglio deposito'!$F$29)),2*'foglio deposito'!$D$30/(-'foglio deposito'!$F$29)*('foglio deposito'!$F$29^2/2-(-'foglio deposito'!$F$29)^3/(-6*'foglio deposito'!$F$29))+'foglio deposito'!$D$30*(ABS(B55)-ABS('foglio deposito'!$F$29)))</f>
        <v>2.0340082337847218E-2</v>
      </c>
      <c r="E55" s="97">
        <f>IF(ABS(B55)&lt;ABS('foglio deposito'!$F$29),-2*'foglio deposito'!$D$30/(-'foglio deposito'!$F$29)*(-B55^3/3-(B55)^4/(-8*'foglio deposito'!$F$29)),-(2*'foglio deposito'!$D$30/(-'foglio deposito'!$F$29)*(ABS('foglio deposito'!$F$29)^3/3-ABS('foglio deposito'!$F$29)^4/(-8*'foglio deposito'!$F$29))+'foglio deposito'!$D$30/2*(ABS(B55)^2-ABS('foglio deposito'!$F$29)^2)))</f>
        <v>-2.2092041034312935E-5</v>
      </c>
      <c r="F55" s="98">
        <f>D55/('foglio deposito'!$F$22*'foglio deposito'!$L$34)</f>
        <v>0.30007497916666664</v>
      </c>
      <c r="G55" s="98">
        <f t="shared" si="3"/>
        <v>0.36668611435239196</v>
      </c>
      <c r="H55" s="101">
        <f t="shared" si="4"/>
        <v>-1.0861333138856479E-3</v>
      </c>
      <c r="I55" s="30">
        <f t="shared" si="2"/>
        <v>-6.9572831623760187</v>
      </c>
      <c r="J55" s="90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2:20" x14ac:dyDescent="0.3">
      <c r="B56" s="96">
        <f>'foglio deposito'!$L$34/'foglio deposito'!$B$141*'foglio deposito'!B91</f>
        <v>-1.7500000000000003E-3</v>
      </c>
      <c r="C56" s="30">
        <f>IF(B56&gt;'foglio deposito'!$L$33,2*'foglio deposito'!$F$22/'foglio deposito'!$L$33*(B56-B56^2/(2*'foglio deposito'!$L$33)),'foglio deposito'!$F$22)</f>
        <v>-19.064062499999999</v>
      </c>
      <c r="D56" s="97">
        <f>IF(B56&gt;'foglio deposito'!$F$29,2*'foglio deposito'!$D$30/(-'foglio deposito'!$F$29)*(B56^2/2-(-B56)^3/(-6*'foglio deposito'!$F$29)),2*'foglio deposito'!$D$30/(-'foglio deposito'!$F$29)*('foglio deposito'!$F$29^2/2-(-'foglio deposito'!$F$29)^3/(-6*'foglio deposito'!$F$29))+'foglio deposito'!$D$30*(ABS(B56)-ABS('foglio deposito'!$F$29)))</f>
        <v>2.1005772569444445E-2</v>
      </c>
      <c r="E56" s="97">
        <f>IF(ABS(B56)&lt;ABS('foglio deposito'!$F$29),-2*'foglio deposito'!$D$30/(-'foglio deposito'!$F$29)*(-B56^3/3-(B56)^4/(-8*'foglio deposito'!$F$29)),-(2*'foglio deposito'!$D$30/(-'foglio deposito'!$F$29)*(ABS('foglio deposito'!$F$29)^3/3-ABS('foglio deposito'!$F$29)^4/(-8*'foglio deposito'!$F$29))+'foglio deposito'!$D$30/2*(ABS(B56)^2-ABS('foglio deposito'!$F$29)^2)))</f>
        <v>-2.3245358615451393E-5</v>
      </c>
      <c r="F56" s="98">
        <f>D56/('foglio deposito'!$F$22*'foglio deposito'!$L$34)</f>
        <v>0.30989583333333343</v>
      </c>
      <c r="G56" s="98">
        <f t="shared" si="3"/>
        <v>0.36764705882352944</v>
      </c>
      <c r="H56" s="101">
        <f t="shared" si="4"/>
        <v>-1.1066176470588237E-3</v>
      </c>
      <c r="I56" s="30">
        <f t="shared" si="2"/>
        <v>-7.0088465073529411</v>
      </c>
      <c r="J56" s="90"/>
      <c r="K56" s="19"/>
      <c r="L56" s="19"/>
      <c r="M56" s="94"/>
      <c r="N56" s="65"/>
      <c r="O56" s="19"/>
      <c r="P56" s="19"/>
      <c r="Q56" s="19"/>
      <c r="R56" s="19"/>
      <c r="S56" s="19"/>
      <c r="T56" s="19"/>
    </row>
    <row r="57" spans="2:20" x14ac:dyDescent="0.3">
      <c r="B57" s="96">
        <f>'foglio deposito'!$L$34/'foglio deposito'!$B$141*'foglio deposito'!B92</f>
        <v>-1.7850000000000001E-3</v>
      </c>
      <c r="C57" s="30">
        <f>IF(B57&gt;'foglio deposito'!$L$33,2*'foglio deposito'!$F$22/'foglio deposito'!$L$33*(B57-B57^2/(2*'foglio deposito'!$L$33)),'foglio deposito'!$F$22)</f>
        <v>-19.142860624999997</v>
      </c>
      <c r="D57" s="97">
        <f>IF(B57&gt;'foglio deposito'!$F$29,2*'foglio deposito'!$D$30/(-'foglio deposito'!$F$29)*(B57^2/2-(-B57)^3/(-6*'foglio deposito'!$F$29)),2*'foglio deposito'!$D$30/(-'foglio deposito'!$F$29)*('foglio deposito'!$F$29^2/2-(-'foglio deposito'!$F$29)^3/(-6*'foglio deposito'!$F$29))+'foglio deposito'!$D$30*(ABS(B57)-ABS('foglio deposito'!$F$29)))</f>
        <v>2.1674428321875001E-2</v>
      </c>
      <c r="E57" s="97">
        <f>IF(ABS(B57)&lt;ABS('foglio deposito'!$F$29),-2*'foglio deposito'!$D$30/(-'foglio deposito'!$F$29)*(-B57^3/3-(B57)^4/(-8*'foglio deposito'!$F$29)),-(2*'foglio deposito'!$D$30/(-'foglio deposito'!$F$29)*(ABS('foglio deposito'!$F$29)^3/3-ABS('foglio deposito'!$F$29)^4/(-8*'foglio deposito'!$F$29))+'foglio deposito'!$D$30/2*(ABS(B57)^2-ABS('foglio deposito'!$F$29)^2)))</f>
        <v>-2.4427215701847658E-5</v>
      </c>
      <c r="F57" s="98">
        <f>D57/('foglio deposito'!$F$22*'foglio deposito'!$L$34)</f>
        <v>0.31976043750000011</v>
      </c>
      <c r="G57" s="98">
        <f t="shared" si="3"/>
        <v>0.36862396204033221</v>
      </c>
      <c r="H57" s="101">
        <f t="shared" si="4"/>
        <v>-1.1270062277580072E-3</v>
      </c>
      <c r="I57" s="30">
        <f t="shared" si="2"/>
        <v>-7.0565171283733692</v>
      </c>
      <c r="J57" s="90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x14ac:dyDescent="0.3">
      <c r="B58" s="96">
        <f>'foglio deposito'!$L$34/'foglio deposito'!$B$141*'foglio deposito'!B93</f>
        <v>-1.8200000000000002E-3</v>
      </c>
      <c r="C58" s="30">
        <f>IF(B58&gt;'foglio deposito'!$L$33,2*'foglio deposito'!$F$22/'foglio deposito'!$L$33*(B58-B58^2/(2*'foglio deposito'!$L$33)),'foglio deposito'!$F$22)</f>
        <v>-19.209796666666666</v>
      </c>
      <c r="D58" s="97">
        <f>IF(B58&gt;'foglio deposito'!$F$29,2*'foglio deposito'!$D$30/(-'foglio deposito'!$F$29)*(B58^2/2-(-B58)^3/(-6*'foglio deposito'!$F$29)),2*'foglio deposito'!$D$30/(-'foglio deposito'!$F$29)*('foglio deposito'!$F$29^2/2-(-'foglio deposito'!$F$29)^3/(-6*'foglio deposito'!$F$29))+'foglio deposito'!$D$30*(ABS(B58)-ABS('foglio deposito'!$F$29)))</f>
        <v>2.2345634422222222E-2</v>
      </c>
      <c r="E58" s="97">
        <f>IF(ABS(B58)&lt;ABS('foglio deposito'!$F$29),-2*'foglio deposito'!$D$30/(-'foglio deposito'!$F$29)*(-B58^3/3-(B58)^4/(-8*'foglio deposito'!$F$29)),-(2*'foglio deposito'!$D$30/(-'foglio deposito'!$F$29)*(ABS('foglio deposito'!$F$29)^3/3-ABS('foglio deposito'!$F$29)^4/(-8*'foglio deposito'!$F$29))+'foglio deposito'!$D$30/2*(ABS(B58)^2-ABS('foglio deposito'!$F$29)^2)))</f>
        <v>-2.5637071530777783E-5</v>
      </c>
      <c r="F58" s="98">
        <f>D58/('foglio deposito'!$F$22*'foglio deposito'!$L$34)</f>
        <v>0.32966266666666671</v>
      </c>
      <c r="G58" s="98">
        <f t="shared" si="3"/>
        <v>0.36961722488038273</v>
      </c>
      <c r="H58" s="101">
        <f t="shared" si="4"/>
        <v>-1.1472966507177036E-3</v>
      </c>
      <c r="I58" s="30">
        <f t="shared" si="2"/>
        <v>-7.1002717344497599</v>
      </c>
      <c r="J58" s="90"/>
      <c r="K58" s="19"/>
      <c r="L58" s="19"/>
      <c r="P58" s="19"/>
      <c r="Q58" s="19"/>
      <c r="R58" s="19"/>
      <c r="S58" s="19"/>
      <c r="T58" s="19"/>
    </row>
    <row r="59" spans="2:20" x14ac:dyDescent="0.3">
      <c r="B59" s="96">
        <f>'foglio deposito'!$L$34/'foglio deposito'!$B$141*'foglio deposito'!B94</f>
        <v>-1.8550000000000001E-3</v>
      </c>
      <c r="C59" s="30">
        <f>IF(B59&gt;'foglio deposito'!$L$33,2*'foglio deposito'!$F$22/'foglio deposito'!$L$33*(B59-B59^2/(2*'foglio deposito'!$L$33)),'foglio deposito'!$F$22)</f>
        <v>-19.264870624999997</v>
      </c>
      <c r="D59" s="97">
        <f>IF(B59&gt;'foglio deposito'!$F$29,2*'foglio deposito'!$D$30/(-'foglio deposito'!$F$29)*(B59^2/2-(-B59)^3/(-6*'foglio deposito'!$F$29)),2*'foglio deposito'!$D$30/(-'foglio deposito'!$F$29)*('foglio deposito'!$F$29^2/2-(-'foglio deposito'!$F$29)^3/(-6*'foglio deposito'!$F$29))+'foglio deposito'!$D$30*(ABS(B59)-ABS('foglio deposito'!$F$29)))</f>
        <v>2.3018975697569444E-2</v>
      </c>
      <c r="E59" s="97">
        <f>IF(ABS(B59)&lt;ABS('foglio deposito'!$F$29),-2*'foglio deposito'!$D$30/(-'foglio deposito'!$F$29)*(-B59^3/3-(B59)^4/(-8*'foglio deposito'!$F$29)),-(2*'foglio deposito'!$D$30/(-'foglio deposito'!$F$29)*(ABS('foglio deposito'!$F$29)^3/3-ABS('foglio deposito'!$F$29)^4/(-8*'foglio deposito'!$F$29))+'foglio deposito'!$D$30/2*(ABS(B59)^2-ABS('foglio deposito'!$F$29)^2)))</f>
        <v>-2.6874341746361547E-5</v>
      </c>
      <c r="F59" s="98">
        <f>D59/('foglio deposito'!$F$22*'foglio deposito'!$L$34)</f>
        <v>0.3395963958333334</v>
      </c>
      <c r="G59" s="98">
        <f t="shared" si="3"/>
        <v>0.37062726176115801</v>
      </c>
      <c r="H59" s="101">
        <f t="shared" si="4"/>
        <v>-1.167486429433052E-3</v>
      </c>
      <c r="I59" s="30">
        <f t="shared" si="2"/>
        <v>-7.1400862479267175</v>
      </c>
      <c r="J59" s="90"/>
      <c r="K59" s="19"/>
      <c r="L59" s="19"/>
      <c r="P59" s="19"/>
      <c r="Q59" s="19"/>
      <c r="R59" s="19"/>
      <c r="S59" s="19"/>
      <c r="T59" s="19"/>
    </row>
    <row r="60" spans="2:20" x14ac:dyDescent="0.3">
      <c r="B60" s="96">
        <f>'foglio deposito'!$L$34/'foglio deposito'!$B$141*'foglio deposito'!B95</f>
        <v>-1.8900000000000002E-3</v>
      </c>
      <c r="C60" s="30">
        <f>IF(B60&gt;'foglio deposito'!$L$33,2*'foglio deposito'!$F$22/'foglio deposito'!$L$33*(B60-B60^2/(2*'foglio deposito'!$L$33)),'foglio deposito'!$F$22)</f>
        <v>-19.308082499999998</v>
      </c>
      <c r="D60" s="97">
        <f>IF(B60&gt;'foglio deposito'!$F$29,2*'foglio deposito'!$D$30/(-'foglio deposito'!$F$29)*(B60^2/2-(-B60)^3/(-6*'foglio deposito'!$F$29)),2*'foglio deposito'!$D$30/(-'foglio deposito'!$F$29)*('foglio deposito'!$F$29^2/2-(-'foglio deposito'!$F$29)^3/(-6*'foglio deposito'!$F$29))+'foglio deposito'!$D$30*(ABS(B60)-ABS('foglio deposito'!$F$29)))</f>
        <v>2.3694036975000003E-2</v>
      </c>
      <c r="E60" s="97">
        <f>IF(ABS(B60)&lt;ABS('foglio deposito'!$F$29),-2*'foglio deposito'!$D$30/(-'foglio deposito'!$F$29)*(-B60^3/3-(B60)^4/(-8*'foglio deposito'!$F$29)),-(2*'foglio deposito'!$D$30/(-'foglio deposito'!$F$29)*(ABS('foglio deposito'!$F$29)^3/3-ABS('foglio deposito'!$F$29)^4/(-8*'foglio deposito'!$F$29))+'foglio deposito'!$D$30/2*(ABS(B60)^2-ABS('foglio deposito'!$F$29)^2)))</f>
        <v>-2.81383983995625E-5</v>
      </c>
      <c r="F60" s="98">
        <f>D60/('foglio deposito'!$F$22*'foglio deposito'!$L$34)</f>
        <v>0.34955550000000013</v>
      </c>
      <c r="G60" s="98">
        <f t="shared" si="3"/>
        <v>0.3716545012165452</v>
      </c>
      <c r="H60" s="101">
        <f t="shared" si="4"/>
        <v>-1.1875729927007298E-3</v>
      </c>
      <c r="I60" s="30">
        <f t="shared" si="2"/>
        <v>-7.1759357709854044</v>
      </c>
      <c r="J60" s="90"/>
      <c r="K60" s="19"/>
      <c r="L60" s="19"/>
      <c r="P60" s="19"/>
      <c r="Q60" s="19"/>
      <c r="R60" s="19"/>
      <c r="S60" s="19"/>
      <c r="T60" s="19"/>
    </row>
    <row r="61" spans="2:20" x14ac:dyDescent="0.3">
      <c r="B61" s="96">
        <f>'foglio deposito'!$L$34/'foglio deposito'!$B$141*'foglio deposito'!B96</f>
        <v>-1.9250000000000003E-3</v>
      </c>
      <c r="C61" s="30">
        <f>IF(B61&gt;'foglio deposito'!$L$33,2*'foglio deposito'!$F$22/'foglio deposito'!$L$33*(B61-B61^2/(2*'foglio deposito'!$L$33)),'foglio deposito'!$F$22)</f>
        <v>-19.339432291666661</v>
      </c>
      <c r="D61" s="97">
        <f>IF(B61&gt;'foglio deposito'!$F$29,2*'foglio deposito'!$D$30/(-'foglio deposito'!$F$29)*(B61^2/2-(-B61)^3/(-6*'foglio deposito'!$F$29)),2*'foglio deposito'!$D$30/(-'foglio deposito'!$F$29)*('foglio deposito'!$F$29^2/2-(-'foglio deposito'!$F$29)^3/(-6*'foglio deposito'!$F$29))+'foglio deposito'!$D$30*(ABS(B61)-ABS('foglio deposito'!$F$29)))</f>
        <v>2.4370403081597224E-2</v>
      </c>
      <c r="E61" s="97">
        <f>IF(ABS(B61)&lt;ABS('foglio deposito'!$F$29),-2*'foglio deposito'!$D$30/(-'foglio deposito'!$F$29)*(-B61^3/3-(B61)^4/(-8*'foglio deposito'!$F$29)),-(2*'foglio deposito'!$D$30/(-'foglio deposito'!$F$29)*(ABS('foglio deposito'!$F$29)^3/3-ABS('foglio deposito'!$F$29)^4/(-8*'foglio deposito'!$F$29))+'foglio deposito'!$D$30/2*(ABS(B61)^2-ABS('foglio deposito'!$F$29)^2)))</f>
        <v>-2.9428569948187939E-5</v>
      </c>
      <c r="F61" s="98">
        <f>D61/('foglio deposito'!$F$22*'foglio deposito'!$L$34)</f>
        <v>0.35953385416666678</v>
      </c>
      <c r="G61" s="98">
        <f t="shared" si="3"/>
        <v>0.37269938650306755</v>
      </c>
      <c r="H61" s="101">
        <f t="shared" si="4"/>
        <v>-1.2075536809815952E-3</v>
      </c>
      <c r="I61" s="30">
        <f t="shared" si="2"/>
        <v>-7.2077945504217782</v>
      </c>
      <c r="J61" s="90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x14ac:dyDescent="0.3">
      <c r="B62" s="96">
        <f>'foglio deposito'!$L$34/'foglio deposito'!$B$141*'foglio deposito'!B97</f>
        <v>-1.9600000000000004E-3</v>
      </c>
      <c r="C62" s="30">
        <f>IF(B62&gt;'foglio deposito'!$L$33,2*'foglio deposito'!$F$22/'foglio deposito'!$L$33*(B62-B62^2/(2*'foglio deposito'!$L$33)),'foglio deposito'!$F$22)</f>
        <v>-19.358919999999998</v>
      </c>
      <c r="D62" s="97">
        <f>IF(B62&gt;'foglio deposito'!$F$29,2*'foglio deposito'!$D$30/(-'foglio deposito'!$F$29)*(B62^2/2-(-B62)^3/(-6*'foglio deposito'!$F$29)),2*'foglio deposito'!$D$30/(-'foglio deposito'!$F$29)*('foglio deposito'!$F$29^2/2-(-'foglio deposito'!$F$29)^3/(-6*'foglio deposito'!$F$29))+'foglio deposito'!$D$30*(ABS(B62)-ABS('foglio deposito'!$F$29)))</f>
        <v>2.5047658844444449E-2</v>
      </c>
      <c r="E62" s="97">
        <f>IF(ABS(B62)&lt;ABS('foglio deposito'!$F$29),-2*'foglio deposito'!$D$30/(-'foglio deposito'!$F$29)*(-B62^3/3-(B62)^4/(-8*'foglio deposito'!$F$29)),-(2*'foglio deposito'!$D$30/(-'foglio deposito'!$F$29)*(ABS('foglio deposito'!$F$29)^3/3-ABS('foglio deposito'!$F$29)^4/(-8*'foglio deposito'!$F$29))+'foglio deposito'!$D$30/2*(ABS(B62)^2-ABS('foglio deposito'!$F$29)^2)))</f>
        <v>-3.0744141256888899E-5</v>
      </c>
      <c r="F62" s="98">
        <f>D62/('foglio deposito'!$F$22*'foglio deposito'!$L$34)</f>
        <v>0.36952533333333348</v>
      </c>
      <c r="G62" s="98">
        <f t="shared" si="3"/>
        <v>0.37376237623762376</v>
      </c>
      <c r="H62" s="101">
        <f t="shared" si="4"/>
        <v>-1.2274257425742576E-3</v>
      </c>
      <c r="I62" s="30">
        <f t="shared" si="2"/>
        <v>-7.2356359405940589</v>
      </c>
      <c r="J62" s="90"/>
      <c r="P62" s="19"/>
      <c r="Q62" s="19"/>
      <c r="R62" s="19"/>
      <c r="S62" s="19"/>
      <c r="T62" s="19"/>
    </row>
    <row r="63" spans="2:20" x14ac:dyDescent="0.3">
      <c r="B63" s="96">
        <f>'foglio deposito'!$L$34/'foglio deposito'!$B$141*'foglio deposito'!B98</f>
        <v>-1.9950000000000002E-3</v>
      </c>
      <c r="C63" s="30">
        <f>IF(B63&gt;'foglio deposito'!$L$33,2*'foglio deposito'!$F$22/'foglio deposito'!$L$33*(B63-B63^2/(2*'foglio deposito'!$L$33)),'foglio deposito'!$F$22)</f>
        <v>-19.366545624999997</v>
      </c>
      <c r="D63" s="97">
        <f>IF(B63&gt;'foglio deposito'!$F$29,2*'foglio deposito'!$D$30/(-'foglio deposito'!$F$29)*(B63^2/2-(-B63)^3/(-6*'foglio deposito'!$F$29)),2*'foglio deposito'!$D$30/(-'foglio deposito'!$F$29)*('foglio deposito'!$F$29^2/2-(-'foglio deposito'!$F$29)^3/(-6*'foglio deposito'!$F$29))+'foglio deposito'!$D$30*(ABS(B63)-ABS('foglio deposito'!$F$29)))</f>
        <v>2.5725389090625002E-2</v>
      </c>
      <c r="E63" s="97">
        <f>IF(ABS(B63)&lt;ABS('foglio deposito'!$F$29),-2*'foglio deposito'!$D$30/(-'foglio deposito'!$F$29)*(-B63^3/3-(B63)^4/(-8*'foglio deposito'!$F$29)),-(2*'foglio deposito'!$D$30/(-'foglio deposito'!$F$29)*(ABS('foglio deposito'!$F$29)^3/3-ABS('foglio deposito'!$F$29)^4/(-8*'foglio deposito'!$F$29))+'foglio deposito'!$D$30/2*(ABS(B63)^2-ABS('foglio deposito'!$F$29)^2)))</f>
        <v>-3.2084353597160171E-5</v>
      </c>
      <c r="F63" s="98">
        <f>D63/('foglio deposito'!$F$22*'foglio deposito'!$L$34)</f>
        <v>0.37952381250000011</v>
      </c>
      <c r="G63" s="98">
        <f t="shared" si="3"/>
        <v>0.37484394506866403</v>
      </c>
      <c r="H63" s="101">
        <f t="shared" si="4"/>
        <v>-1.2471863295880155E-3</v>
      </c>
      <c r="I63" s="30">
        <f t="shared" si="2"/>
        <v>-7.2594323644272745</v>
      </c>
      <c r="J63" s="90"/>
      <c r="P63" s="19"/>
      <c r="Q63" s="19"/>
      <c r="R63" s="19"/>
      <c r="S63" s="19"/>
      <c r="T63" s="19"/>
    </row>
    <row r="64" spans="2:20" x14ac:dyDescent="0.3">
      <c r="B64" s="96">
        <f>'foglio deposito'!$L$34/'foglio deposito'!$B$141*'foglio deposito'!B99</f>
        <v>-2.0300000000000001E-3</v>
      </c>
      <c r="C64" s="30">
        <f>IF(B64&gt;'foglio deposito'!$L$33,2*'foglio deposito'!$F$22/'foglio deposito'!$L$33*(B64-B64^2/(2*'foglio deposito'!$L$33)),'foglio deposito'!$F$22)</f>
        <v>-19.366666666666664</v>
      </c>
      <c r="D64" s="97">
        <f>IF(B64&gt;'foglio deposito'!$F$29,2*'foglio deposito'!$D$30/(-'foglio deposito'!$F$29)*(B64^2/2-(-B64)^3/(-6*'foglio deposito'!$F$29)),2*'foglio deposito'!$D$30/(-'foglio deposito'!$F$29)*('foglio deposito'!$F$29^2/2-(-'foglio deposito'!$F$29)^3/(-6*'foglio deposito'!$F$29))+'foglio deposito'!$D$30*(ABS(B64)-ABS('foglio deposito'!$F$29)))</f>
        <v>2.6403222222222217E-2</v>
      </c>
      <c r="E64" s="97">
        <f>IF(ABS(B64)&lt;ABS('foglio deposito'!$F$29),-2*'foglio deposito'!$D$30/(-'foglio deposito'!$F$29)*(-B64^3/3-(B64)^4/(-8*'foglio deposito'!$F$29)),-(2*'foglio deposito'!$D$30/(-'foglio deposito'!$F$29)*(ABS('foglio deposito'!$F$29)^3/3-ABS('foglio deposito'!$F$29)^4/(-8*'foglio deposito'!$F$29))+'foglio deposito'!$D$30/2*(ABS(B64)^2-ABS('foglio deposito'!$F$29)^2)))</f>
        <v>-3.3448492777777787E-5</v>
      </c>
      <c r="F64" s="98">
        <f>D64/('foglio deposito'!$F$22*'foglio deposito'!$L$34)</f>
        <v>0.38952380952380949</v>
      </c>
      <c r="G64" s="98">
        <f t="shared" si="3"/>
        <v>0.37594397003384417</v>
      </c>
      <c r="H64" s="101">
        <f t="shared" si="4"/>
        <v>-1.2668337408312965E-3</v>
      </c>
      <c r="I64" s="30">
        <f t="shared" si="2"/>
        <v>-7.2807815529887812</v>
      </c>
      <c r="J64" s="90"/>
      <c r="P64" s="19"/>
      <c r="Q64" s="19"/>
      <c r="R64" s="19"/>
      <c r="S64" s="19"/>
      <c r="T64" s="19"/>
    </row>
    <row r="65" spans="2:20" x14ac:dyDescent="0.3">
      <c r="B65" s="96">
        <f>'foglio deposito'!$L$34/'foglio deposito'!$B$141*'foglio deposito'!B100</f>
        <v>-2.0650000000000004E-3</v>
      </c>
      <c r="C65" s="30">
        <f>IF(B65&gt;'foglio deposito'!$L$33,2*'foglio deposito'!$F$22/'foglio deposito'!$L$33*(B65-B65^2/(2*'foglio deposito'!$L$33)),'foglio deposito'!$F$22)</f>
        <v>-19.366666666666664</v>
      </c>
      <c r="D65" s="97">
        <f>IF(B65&gt;'foglio deposito'!$F$29,2*'foglio deposito'!$D$30/(-'foglio deposito'!$F$29)*(B65^2/2-(-B65)^3/(-6*'foglio deposito'!$F$29)),2*'foglio deposito'!$D$30/(-'foglio deposito'!$F$29)*('foglio deposito'!$F$29^2/2-(-'foglio deposito'!$F$29)^3/(-6*'foglio deposito'!$F$29))+'foglio deposito'!$D$30*(ABS(B65)-ABS('foglio deposito'!$F$29)))</f>
        <v>2.7081055555555556E-2</v>
      </c>
      <c r="E65" s="97">
        <f>IF(ABS(B65)&lt;ABS('foglio deposito'!$F$29),-2*'foglio deposito'!$D$30/(-'foglio deposito'!$F$29)*(-B65^3/3-(B65)^4/(-8*'foglio deposito'!$F$29)),-(2*'foglio deposito'!$D$30/(-'foglio deposito'!$F$29)*(ABS('foglio deposito'!$F$29)^3/3-ABS('foglio deposito'!$F$29)^4/(-8*'foglio deposito'!$F$29))+'foglio deposito'!$D$30/2*(ABS(B65)^2-ABS('foglio deposito'!$F$29)^2)))</f>
        <v>-3.4836356527777797E-5</v>
      </c>
      <c r="F65" s="98">
        <f>D65/('foglio deposito'!$F$22*'foglio deposito'!$L$34)</f>
        <v>0.39952380952380961</v>
      </c>
      <c r="G65" s="98">
        <f t="shared" si="3"/>
        <v>0.37705876071767652</v>
      </c>
      <c r="H65" s="101">
        <f t="shared" si="4"/>
        <v>-1.2863736591179982E-3</v>
      </c>
      <c r="I65" s="30">
        <f t="shared" si="2"/>
        <v>-7.3023713325656674</v>
      </c>
      <c r="J65" s="90"/>
      <c r="P65" s="19"/>
      <c r="Q65" s="19"/>
      <c r="R65" s="19"/>
      <c r="S65" s="19"/>
      <c r="T65" s="19"/>
    </row>
    <row r="66" spans="2:20" x14ac:dyDescent="0.3">
      <c r="B66" s="96">
        <f>'foglio deposito'!$L$34/'foglio deposito'!$B$141*'foglio deposito'!B101</f>
        <v>-2.1000000000000003E-3</v>
      </c>
      <c r="C66" s="30">
        <f>IF(B66&gt;'foglio deposito'!$L$33,2*'foglio deposito'!$F$22/'foglio deposito'!$L$33*(B66-B66^2/(2*'foglio deposito'!$L$33)),'foglio deposito'!$F$22)</f>
        <v>-19.366666666666664</v>
      </c>
      <c r="D66" s="97">
        <f>IF(B66&gt;'foglio deposito'!$F$29,2*'foglio deposito'!$D$30/(-'foglio deposito'!$F$29)*(B66^2/2-(-B66)^3/(-6*'foglio deposito'!$F$29)),2*'foglio deposito'!$D$30/(-'foglio deposito'!$F$29)*('foglio deposito'!$F$29^2/2-(-'foglio deposito'!$F$29)^3/(-6*'foglio deposito'!$F$29))+'foglio deposito'!$D$30*(ABS(B66)-ABS('foglio deposito'!$F$29)))</f>
        <v>2.7758888888888885E-2</v>
      </c>
      <c r="E66" s="97">
        <f>IF(ABS(B66)&lt;ABS('foglio deposito'!$F$29),-2*'foglio deposito'!$D$30/(-'foglio deposito'!$F$29)*(-B66^3/3-(B66)^4/(-8*'foglio deposito'!$F$29)),-(2*'foglio deposito'!$D$30/(-'foglio deposito'!$F$29)*(ABS('foglio deposito'!$F$29)^3/3-ABS('foglio deposito'!$F$29)^4/(-8*'foglio deposito'!$F$29))+'foglio deposito'!$D$30/2*(ABS(B66)^2-ABS('foglio deposito'!$F$29)^2)))</f>
        <v>-3.6247944444444458E-5</v>
      </c>
      <c r="F66" s="98">
        <f>D66/('foglio deposito'!$F$22*'foglio deposito'!$L$34)</f>
        <v>0.40952380952380957</v>
      </c>
      <c r="G66" s="98">
        <f t="shared" si="3"/>
        <v>0.3781838316722036</v>
      </c>
      <c r="H66" s="101">
        <f t="shared" si="4"/>
        <v>-1.3058139534883727E-3</v>
      </c>
      <c r="I66" s="30">
        <f t="shared" si="2"/>
        <v>-7.324160206718342</v>
      </c>
      <c r="J66" s="90"/>
      <c r="P66" s="19"/>
      <c r="Q66" s="19"/>
      <c r="R66" s="19"/>
      <c r="S66" s="19"/>
      <c r="T66" s="19"/>
    </row>
    <row r="67" spans="2:20" x14ac:dyDescent="0.3">
      <c r="B67" s="96">
        <f>'foglio deposito'!$L$34/'foglio deposito'!$B$141*'foglio deposito'!B102</f>
        <v>-2.1350000000000002E-3</v>
      </c>
      <c r="C67" s="30">
        <f>IF(B67&gt;'foglio deposito'!$L$33,2*'foglio deposito'!$F$22/'foglio deposito'!$L$33*(B67-B67^2/(2*'foglio deposito'!$L$33)),'foglio deposito'!$F$22)</f>
        <v>-19.366666666666664</v>
      </c>
      <c r="D67" s="97">
        <f>IF(B67&gt;'foglio deposito'!$F$29,2*'foglio deposito'!$D$30/(-'foglio deposito'!$F$29)*(B67^2/2-(-B67)^3/(-6*'foglio deposito'!$F$29)),2*'foglio deposito'!$D$30/(-'foglio deposito'!$F$29)*('foglio deposito'!$F$29^2/2-(-'foglio deposito'!$F$29)^3/(-6*'foglio deposito'!$F$29))+'foglio deposito'!$D$30*(ABS(B67)-ABS('foglio deposito'!$F$29)))</f>
        <v>2.8436722222222217E-2</v>
      </c>
      <c r="E67" s="97">
        <f>IF(ABS(B67)&lt;ABS('foglio deposito'!$F$29),-2*'foglio deposito'!$D$30/(-'foglio deposito'!$F$29)*(-B67^3/3-(B67)^4/(-8*'foglio deposito'!$F$29)),-(2*'foglio deposito'!$D$30/(-'foglio deposito'!$F$29)*(ABS('foglio deposito'!$F$29)^3/3-ABS('foglio deposito'!$F$29)^4/(-8*'foglio deposito'!$F$29))+'foglio deposito'!$D$30/2*(ABS(B67)^2-ABS('foglio deposito'!$F$29)^2)))</f>
        <v>-3.7683256527777791E-5</v>
      </c>
      <c r="F67" s="98">
        <f>D67/('foglio deposito'!$F$22*'foglio deposito'!$L$34)</f>
        <v>0.41952380952380952</v>
      </c>
      <c r="G67" s="98">
        <f t="shared" si="3"/>
        <v>0.37931534050884241</v>
      </c>
      <c r="H67" s="101">
        <f t="shared" si="4"/>
        <v>-1.3251617480136216E-3</v>
      </c>
      <c r="I67" s="30">
        <f t="shared" si="2"/>
        <v>-7.3460737611879132</v>
      </c>
      <c r="J67" s="90"/>
      <c r="P67" s="19"/>
      <c r="Q67" s="19"/>
      <c r="R67" s="19"/>
      <c r="S67" s="19"/>
      <c r="T67" s="19"/>
    </row>
    <row r="68" spans="2:20" x14ac:dyDescent="0.3">
      <c r="B68" s="96">
        <f>'foglio deposito'!$L$34/'foglio deposito'!$B$141*'foglio deposito'!B103</f>
        <v>-2.1700000000000001E-3</v>
      </c>
      <c r="C68" s="30">
        <f>IF(B68&gt;'foglio deposito'!$L$33,2*'foglio deposito'!$F$22/'foglio deposito'!$L$33*(B68-B68^2/(2*'foglio deposito'!$L$33)),'foglio deposito'!$F$22)</f>
        <v>-19.366666666666664</v>
      </c>
      <c r="D68" s="97">
        <f>IF(B68&gt;'foglio deposito'!$F$29,2*'foglio deposito'!$D$30/(-'foglio deposito'!$F$29)*(B68^2/2-(-B68)^3/(-6*'foglio deposito'!$F$29)),2*'foglio deposito'!$D$30/(-'foglio deposito'!$F$29)*('foglio deposito'!$F$29^2/2-(-'foglio deposito'!$F$29)^3/(-6*'foglio deposito'!$F$29))+'foglio deposito'!$D$30*(ABS(B68)-ABS('foglio deposito'!$F$29)))</f>
        <v>2.9114555555555546E-2</v>
      </c>
      <c r="E68" s="97">
        <f>IF(ABS(B68)&lt;ABS('foglio deposito'!$F$29),-2*'foglio deposito'!$D$30/(-'foglio deposito'!$F$29)*(-B68^3/3-(B68)^4/(-8*'foglio deposito'!$F$29)),-(2*'foglio deposito'!$D$30/(-'foglio deposito'!$F$29)*(ABS('foglio deposito'!$F$29)^3/3-ABS('foglio deposito'!$F$29)^4/(-8*'foglio deposito'!$F$29))+'foglio deposito'!$D$30/2*(ABS(B68)^2-ABS('foglio deposito'!$F$29)^2)))</f>
        <v>-3.9142292777777783E-5</v>
      </c>
      <c r="F68" s="98">
        <f>D68/('foglio deposito'!$F$22*'foglio deposito'!$L$34)</f>
        <v>0.42952380952380947</v>
      </c>
      <c r="G68" s="98">
        <f t="shared" si="3"/>
        <v>0.38044999846730743</v>
      </c>
      <c r="H68" s="101">
        <f t="shared" si="4"/>
        <v>-1.344423503325943E-3</v>
      </c>
      <c r="I68" s="30">
        <f t="shared" si="2"/>
        <v>-7.3680483036501858</v>
      </c>
      <c r="J68" s="90"/>
      <c r="P68" s="19"/>
      <c r="Q68" s="19"/>
      <c r="R68" s="19"/>
      <c r="S68" s="19"/>
      <c r="T68" s="19"/>
    </row>
    <row r="69" spans="2:20" x14ac:dyDescent="0.3">
      <c r="B69" s="96">
        <f>'foglio deposito'!$L$34/'foglio deposito'!$B$141*'foglio deposito'!B104</f>
        <v>-2.2050000000000004E-3</v>
      </c>
      <c r="C69" s="30">
        <f>IF(B69&gt;'foglio deposito'!$L$33,2*'foglio deposito'!$F$22/'foglio deposito'!$L$33*(B69-B69^2/(2*'foglio deposito'!$L$33)),'foglio deposito'!$F$22)</f>
        <v>-19.366666666666664</v>
      </c>
      <c r="D69" s="97">
        <f>IF(B69&gt;'foglio deposito'!$F$29,2*'foglio deposito'!$D$30/(-'foglio deposito'!$F$29)*(B69^2/2-(-B69)^3/(-6*'foglio deposito'!$F$29)),2*'foglio deposito'!$D$30/(-'foglio deposito'!$F$29)*('foglio deposito'!$F$29^2/2-(-'foglio deposito'!$F$29)^3/(-6*'foglio deposito'!$F$29))+'foglio deposito'!$D$30*(ABS(B69)-ABS('foglio deposito'!$F$29)))</f>
        <v>2.9792388888888889E-2</v>
      </c>
      <c r="E69" s="97">
        <f>IF(ABS(B69)&lt;ABS('foglio deposito'!$F$29),-2*'foglio deposito'!$D$30/(-'foglio deposito'!$F$29)*(-B69^3/3-(B69)^4/(-8*'foglio deposito'!$F$29)),-(2*'foglio deposito'!$D$30/(-'foglio deposito'!$F$29)*(ABS('foglio deposito'!$F$29)^3/3-ABS('foglio deposito'!$F$29)^4/(-8*'foglio deposito'!$F$29))+'foglio deposito'!$D$30/2*(ABS(B69)^2-ABS('foglio deposito'!$F$29)^2)))</f>
        <v>-4.0625053194444466E-5</v>
      </c>
      <c r="F69" s="98">
        <f>D69/('foglio deposito'!$F$22*'foglio deposito'!$L$34)</f>
        <v>0.43952380952380959</v>
      </c>
      <c r="G69" s="98">
        <f t="shared" si="3"/>
        <v>0.38158499224897591</v>
      </c>
      <c r="H69" s="101">
        <f t="shared" si="4"/>
        <v>-1.3636050920910084E-3</v>
      </c>
      <c r="I69" s="30">
        <f t="shared" si="2"/>
        <v>-7.3900293498884988</v>
      </c>
      <c r="J69" s="90"/>
      <c r="P69" s="19"/>
      <c r="Q69" s="19"/>
      <c r="R69" s="19"/>
      <c r="S69" s="19"/>
      <c r="T69" s="19"/>
    </row>
    <row r="70" spans="2:20" x14ac:dyDescent="0.3">
      <c r="B70" s="96">
        <f>'foglio deposito'!$L$34/'foglio deposito'!$B$141*'foglio deposito'!B105</f>
        <v>-2.2400000000000002E-3</v>
      </c>
      <c r="C70" s="30">
        <f>IF(B70&gt;'foglio deposito'!$L$33,2*'foglio deposito'!$F$22/'foglio deposito'!$L$33*(B70-B70^2/(2*'foglio deposito'!$L$33)),'foglio deposito'!$F$22)</f>
        <v>-19.366666666666664</v>
      </c>
      <c r="D70" s="97">
        <f>IF(B70&gt;'foglio deposito'!$F$29,2*'foglio deposito'!$D$30/(-'foglio deposito'!$F$29)*(B70^2/2-(-B70)^3/(-6*'foglio deposito'!$F$29)),2*'foglio deposito'!$D$30/(-'foglio deposito'!$F$29)*('foglio deposito'!$F$29^2/2-(-'foglio deposito'!$F$29)^3/(-6*'foglio deposito'!$F$29))+'foglio deposito'!$D$30*(ABS(B70)-ABS('foglio deposito'!$F$29)))</f>
        <v>3.0470222222222218E-2</v>
      </c>
      <c r="E70" s="97">
        <f>IF(ABS(B70)&lt;ABS('foglio deposito'!$F$29),-2*'foglio deposito'!$D$30/(-'foglio deposito'!$F$29)*(-B70^3/3-(B70)^4/(-8*'foglio deposito'!$F$29)),-(2*'foglio deposito'!$D$30/(-'foglio deposito'!$F$29)*(ABS('foglio deposito'!$F$29)^3/3-ABS('foglio deposito'!$F$29)^4/(-8*'foglio deposito'!$F$29))+'foglio deposito'!$D$30/2*(ABS(B70)^2-ABS('foglio deposito'!$F$29)^2)))</f>
        <v>-4.2131537777777788E-5</v>
      </c>
      <c r="F70" s="98">
        <f>D70/('foglio deposito'!$F$22*'foglio deposito'!$L$34)</f>
        <v>0.44952380952380955</v>
      </c>
      <c r="G70" s="98">
        <f t="shared" si="3"/>
        <v>0.38271791767554464</v>
      </c>
      <c r="H70" s="101">
        <f t="shared" si="4"/>
        <v>-1.3827118644067801E-3</v>
      </c>
      <c r="I70" s="30">
        <f t="shared" si="2"/>
        <v>-7.4119703389830462</v>
      </c>
      <c r="J70" s="90"/>
      <c r="P70" s="19"/>
      <c r="Q70" s="19"/>
      <c r="R70" s="19"/>
      <c r="S70" s="19"/>
      <c r="T70" s="19"/>
    </row>
    <row r="71" spans="2:20" x14ac:dyDescent="0.3">
      <c r="B71" s="96">
        <f>'foglio deposito'!$L$34/'foglio deposito'!$B$141*'foglio deposito'!B106</f>
        <v>-2.2750000000000001E-3</v>
      </c>
      <c r="C71" s="30">
        <f>IF(B71&gt;'foglio deposito'!$L$33,2*'foglio deposito'!$F$22/'foglio deposito'!$L$33*(B71-B71^2/(2*'foglio deposito'!$L$33)),'foglio deposito'!$F$22)</f>
        <v>-19.366666666666664</v>
      </c>
      <c r="D71" s="97">
        <f>IF(B71&gt;'foglio deposito'!$F$29,2*'foglio deposito'!$D$30/(-'foglio deposito'!$F$29)*(B71^2/2-(-B71)^3/(-6*'foglio deposito'!$F$29)),2*'foglio deposito'!$D$30/(-'foglio deposito'!$F$29)*('foglio deposito'!$F$29^2/2-(-'foglio deposito'!$F$29)^3/(-6*'foglio deposito'!$F$29))+'foglio deposito'!$D$30*(ABS(B71)-ABS('foglio deposito'!$F$29)))</f>
        <v>3.1148055555555547E-2</v>
      </c>
      <c r="E71" s="97">
        <f>IF(ABS(B71)&lt;ABS('foglio deposito'!$F$29),-2*'foglio deposito'!$D$30/(-'foglio deposito'!$F$29)*(-B71^3/3-(B71)^4/(-8*'foglio deposito'!$F$29)),-(2*'foglio deposito'!$D$30/(-'foglio deposito'!$F$29)*(ABS('foglio deposito'!$F$29)^3/3-ABS('foglio deposito'!$F$29)^4/(-8*'foglio deposito'!$F$29))+'foglio deposito'!$D$30/2*(ABS(B71)^2-ABS('foglio deposito'!$F$29)^2)))</f>
        <v>-4.3661746527777781E-5</v>
      </c>
      <c r="F71" s="98">
        <f>D71/('foglio deposito'!$F$22*'foglio deposito'!$L$34)</f>
        <v>0.4595238095238095</v>
      </c>
      <c r="G71" s="98">
        <f t="shared" ref="G71:G106" si="5">1-(E71/D71)/B71</f>
        <v>0.38384672322496138</v>
      </c>
      <c r="H71" s="101">
        <f t="shared" ref="H71:H106" si="6">E71/D71</f>
        <v>-1.4017487046632129E-3</v>
      </c>
      <c r="I71" s="30">
        <f t="shared" ref="I71:I106" si="7">C71*G71</f>
        <v>-7.4338315397900843</v>
      </c>
      <c r="J71" s="90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2:20" x14ac:dyDescent="0.3">
      <c r="B72" s="96">
        <f>'foglio deposito'!$L$34/'foglio deposito'!$B$141*'foglio deposito'!B107</f>
        <v>-2.3100000000000004E-3</v>
      </c>
      <c r="C72" s="30">
        <f>IF(B72&gt;'foglio deposito'!$L$33,2*'foglio deposito'!$F$22/'foglio deposito'!$L$33*(B72-B72^2/(2*'foglio deposito'!$L$33)),'foglio deposito'!$F$22)</f>
        <v>-19.366666666666664</v>
      </c>
      <c r="D72" s="97">
        <f>IF(B72&gt;'foglio deposito'!$F$29,2*'foglio deposito'!$D$30/(-'foglio deposito'!$F$29)*(B72^2/2-(-B72)^3/(-6*'foglio deposito'!$F$29)),2*'foglio deposito'!$D$30/(-'foglio deposito'!$F$29)*('foglio deposito'!$F$29^2/2-(-'foglio deposito'!$F$29)^3/(-6*'foglio deposito'!$F$29))+'foglio deposito'!$D$30*(ABS(B72)-ABS('foglio deposito'!$F$29)))</f>
        <v>3.182588888888889E-2</v>
      </c>
      <c r="E72" s="97">
        <f>IF(ABS(B72)&lt;ABS('foglio deposito'!$F$29),-2*'foglio deposito'!$D$30/(-'foglio deposito'!$F$29)*(-B72^3/3-(B72)^4/(-8*'foglio deposito'!$F$29)),-(2*'foglio deposito'!$D$30/(-'foglio deposito'!$F$29)*(ABS('foglio deposito'!$F$29)^3/3-ABS('foglio deposito'!$F$29)^4/(-8*'foglio deposito'!$F$29))+'foglio deposito'!$D$30/2*(ABS(B72)^2-ABS('foglio deposito'!$F$29)^2)))</f>
        <v>-4.5215679444444466E-5</v>
      </c>
      <c r="F72" s="98">
        <f>D72/('foglio deposito'!$F$22*'foglio deposito'!$L$34)</f>
        <v>0.46952380952380962</v>
      </c>
      <c r="G72" s="98">
        <f t="shared" si="5"/>
        <v>0.3849696618459294</v>
      </c>
      <c r="H72" s="101">
        <f t="shared" si="6"/>
        <v>-1.4207200811359032E-3</v>
      </c>
      <c r="I72" s="30">
        <f t="shared" si="7"/>
        <v>-7.4555791177494983</v>
      </c>
      <c r="J72" s="90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2:20" x14ac:dyDescent="0.3">
      <c r="B73" s="96">
        <f>'foglio deposito'!$L$34/'foglio deposito'!$B$141*'foglio deposito'!B108</f>
        <v>-2.3450000000000003E-3</v>
      </c>
      <c r="C73" s="30">
        <f>IF(B73&gt;'foglio deposito'!$L$33,2*'foglio deposito'!$F$22/'foglio deposito'!$L$33*(B73-B73^2/(2*'foglio deposito'!$L$33)),'foglio deposito'!$F$22)</f>
        <v>-19.366666666666664</v>
      </c>
      <c r="D73" s="97">
        <f>IF(B73&gt;'foglio deposito'!$F$29,2*'foglio deposito'!$D$30/(-'foglio deposito'!$F$29)*(B73^2/2-(-B73)^3/(-6*'foglio deposito'!$F$29)),2*'foglio deposito'!$D$30/(-'foglio deposito'!$F$29)*('foglio deposito'!$F$29^2/2-(-'foglio deposito'!$F$29)^3/(-6*'foglio deposito'!$F$29))+'foglio deposito'!$D$30*(ABS(B73)-ABS('foglio deposito'!$F$29)))</f>
        <v>3.2503722222222219E-2</v>
      </c>
      <c r="E73" s="97">
        <f>IF(ABS(B73)&lt;ABS('foglio deposito'!$F$29),-2*'foglio deposito'!$D$30/(-'foglio deposito'!$F$29)*(-B73^3/3-(B73)^4/(-8*'foglio deposito'!$F$29)),-(2*'foglio deposito'!$D$30/(-'foglio deposito'!$F$29)*(ABS('foglio deposito'!$F$29)^3/3-ABS('foglio deposito'!$F$29)^4/(-8*'foglio deposito'!$F$29))+'foglio deposito'!$D$30/2*(ABS(B73)^2-ABS('foglio deposito'!$F$29)^2)))</f>
        <v>-4.6793336527777789E-5</v>
      </c>
      <c r="F73" s="98">
        <f>D73/('foglio deposito'!$F$22*'foglio deposito'!$L$34)</f>
        <v>0.47952380952380957</v>
      </c>
      <c r="G73" s="98">
        <f t="shared" si="5"/>
        <v>0.38608524973374003</v>
      </c>
      <c r="H73" s="101">
        <f t="shared" si="6"/>
        <v>-1.4396300893743798E-3</v>
      </c>
      <c r="I73" s="30">
        <f t="shared" si="7"/>
        <v>-7.4771843365100974</v>
      </c>
      <c r="J73" s="90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2:20" x14ac:dyDescent="0.3">
      <c r="B74" s="96">
        <f>'foglio deposito'!$L$34/'foglio deposito'!$B$141*'foglio deposito'!B109</f>
        <v>-2.3800000000000002E-3</v>
      </c>
      <c r="C74" s="30">
        <f>IF(B74&gt;'foglio deposito'!$L$33,2*'foglio deposito'!$F$22/'foglio deposito'!$L$33*(B74-B74^2/(2*'foglio deposito'!$L$33)),'foglio deposito'!$F$22)</f>
        <v>-19.366666666666664</v>
      </c>
      <c r="D74" s="97">
        <f>IF(B74&gt;'foglio deposito'!$F$29,2*'foglio deposito'!$D$30/(-'foglio deposito'!$F$29)*(B74^2/2-(-B74)^3/(-6*'foglio deposito'!$F$29)),2*'foglio deposito'!$D$30/(-'foglio deposito'!$F$29)*('foglio deposito'!$F$29^2/2-(-'foglio deposito'!$F$29)^3/(-6*'foglio deposito'!$F$29))+'foglio deposito'!$D$30*(ABS(B74)-ABS('foglio deposito'!$F$29)))</f>
        <v>3.3181555555555547E-2</v>
      </c>
      <c r="E74" s="97">
        <f>IF(ABS(B74)&lt;ABS('foglio deposito'!$F$29),-2*'foglio deposito'!$D$30/(-'foglio deposito'!$F$29)*(-B74^3/3-(B74)^4/(-8*'foglio deposito'!$F$29)),-(2*'foglio deposito'!$D$30/(-'foglio deposito'!$F$29)*(ABS('foglio deposito'!$F$29)^3/3-ABS('foglio deposito'!$F$29)^4/(-8*'foglio deposito'!$F$29))+'foglio deposito'!$D$30/2*(ABS(B74)^2-ABS('foglio deposito'!$F$29)^2)))</f>
        <v>-4.8394717777777791E-5</v>
      </c>
      <c r="F74" s="98">
        <f>D74/('foglio deposito'!$F$22*'foglio deposito'!$L$34)</f>
        <v>0.48952380952380947</v>
      </c>
      <c r="G74" s="98">
        <f t="shared" si="5"/>
        <v>0.38719223097799405</v>
      </c>
      <c r="H74" s="101">
        <f t="shared" si="6"/>
        <v>-1.4584824902723742E-3</v>
      </c>
      <c r="I74" s="30">
        <f t="shared" si="7"/>
        <v>-7.4986228732738169</v>
      </c>
      <c r="J74" s="90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2:20" x14ac:dyDescent="0.3">
      <c r="B75" s="96">
        <f>'foglio deposito'!$L$34/'foglio deposito'!$B$141*'foglio deposito'!B110</f>
        <v>-2.415E-3</v>
      </c>
      <c r="C75" s="30">
        <f>IF(B75&gt;'foglio deposito'!$L$33,2*'foglio deposito'!$F$22/'foglio deposito'!$L$33*(B75-B75^2/(2*'foglio deposito'!$L$33)),'foglio deposito'!$F$22)</f>
        <v>-19.366666666666664</v>
      </c>
      <c r="D75" s="97">
        <f>IF(B75&gt;'foglio deposito'!$F$29,2*'foglio deposito'!$D$30/(-'foglio deposito'!$F$29)*(B75^2/2-(-B75)^3/(-6*'foglio deposito'!$F$29)),2*'foglio deposito'!$D$30/(-'foglio deposito'!$F$29)*('foglio deposito'!$F$29^2/2-(-'foglio deposito'!$F$29)^3/(-6*'foglio deposito'!$F$29))+'foglio deposito'!$D$30*(ABS(B75)-ABS('foglio deposito'!$F$29)))</f>
        <v>3.3859388888888883E-2</v>
      </c>
      <c r="E75" s="97">
        <f>IF(ABS(B75)&lt;ABS('foglio deposito'!$F$29),-2*'foglio deposito'!$D$30/(-'foglio deposito'!$F$29)*(-B75^3/3-(B75)^4/(-8*'foglio deposito'!$F$29)),-(2*'foglio deposito'!$D$30/(-'foglio deposito'!$F$29)*(ABS('foglio deposito'!$F$29)^3/3-ABS('foglio deposito'!$F$29)^4/(-8*'foglio deposito'!$F$29))+'foglio deposito'!$D$30/2*(ABS(B75)^2-ABS('foglio deposito'!$F$29)^2)))</f>
        <v>-5.0019823194444444E-5</v>
      </c>
      <c r="F75" s="98">
        <f>D75/('foglio deposito'!$F$22*'foglio deposito'!$L$34)</f>
        <v>0.49952380952380954</v>
      </c>
      <c r="G75" s="98">
        <f t="shared" si="5"/>
        <v>0.38828954717792941</v>
      </c>
      <c r="H75" s="101">
        <f t="shared" si="6"/>
        <v>-1.4772807435653006E-3</v>
      </c>
      <c r="I75" s="30">
        <f t="shared" si="7"/>
        <v>-7.5198742303458985</v>
      </c>
      <c r="J75" s="90"/>
      <c r="K75" s="19"/>
      <c r="P75" s="19"/>
      <c r="Q75" s="19"/>
      <c r="R75" s="19"/>
      <c r="S75" s="19"/>
      <c r="T75" s="19"/>
    </row>
    <row r="76" spans="2:20" x14ac:dyDescent="0.3">
      <c r="B76" s="96">
        <f>'foglio deposito'!$L$34/'foglio deposito'!$B$141*'foglio deposito'!B111</f>
        <v>-2.4500000000000004E-3</v>
      </c>
      <c r="C76" s="30">
        <f>IF(B76&gt;'foglio deposito'!$L$33,2*'foglio deposito'!$F$22/'foglio deposito'!$L$33*(B76-B76^2/(2*'foglio deposito'!$L$33)),'foglio deposito'!$F$22)</f>
        <v>-19.366666666666664</v>
      </c>
      <c r="D76" s="97">
        <f>IF(B76&gt;'foglio deposito'!$F$29,2*'foglio deposito'!$D$30/(-'foglio deposito'!$F$29)*(B76^2/2-(-B76)^3/(-6*'foglio deposito'!$F$29)),2*'foglio deposito'!$D$30/(-'foglio deposito'!$F$29)*('foglio deposito'!$F$29^2/2-(-'foglio deposito'!$F$29)^3/(-6*'foglio deposito'!$F$29))+'foglio deposito'!$D$30*(ABS(B76)-ABS('foglio deposito'!$F$29)))</f>
        <v>3.4537222222222219E-2</v>
      </c>
      <c r="E76" s="97">
        <f>IF(ABS(B76)&lt;ABS('foglio deposito'!$F$29),-2*'foglio deposito'!$D$30/(-'foglio deposito'!$F$29)*(-B76^3/3-(B76)^4/(-8*'foglio deposito'!$F$29)),-(2*'foglio deposito'!$D$30/(-'foglio deposito'!$F$29)*(ABS('foglio deposito'!$F$29)^3/3-ABS('foglio deposito'!$F$29)^4/(-8*'foglio deposito'!$F$29))+'foglio deposito'!$D$30/2*(ABS(B76)^2-ABS('foglio deposito'!$F$29)^2)))</f>
        <v>-5.1668652777777789E-5</v>
      </c>
      <c r="F76" s="98">
        <f>D76/('foglio deposito'!$F$22*'foglio deposito'!$L$34)</f>
        <v>0.5095238095238096</v>
      </c>
      <c r="G76" s="98">
        <f t="shared" si="5"/>
        <v>0.38937631127217232</v>
      </c>
      <c r="H76" s="101">
        <f t="shared" si="6"/>
        <v>-1.4960280373831781E-3</v>
      </c>
      <c r="I76" s="30">
        <f t="shared" si="7"/>
        <v>-7.5409212283044029</v>
      </c>
      <c r="J76" s="90"/>
      <c r="K76" s="19"/>
      <c r="P76" s="19"/>
      <c r="Q76" s="19"/>
      <c r="R76" s="19"/>
      <c r="S76" s="19"/>
      <c r="T76" s="19"/>
    </row>
    <row r="77" spans="2:20" x14ac:dyDescent="0.3">
      <c r="B77" s="96">
        <f>'foglio deposito'!$L$34/'foglio deposito'!$B$141*'foglio deposito'!B112</f>
        <v>-2.4850000000000002E-3</v>
      </c>
      <c r="C77" s="30">
        <f>IF(B77&gt;'foglio deposito'!$L$33,2*'foglio deposito'!$F$22/'foglio deposito'!$L$33*(B77-B77^2/(2*'foglio deposito'!$L$33)),'foglio deposito'!$F$22)</f>
        <v>-19.366666666666664</v>
      </c>
      <c r="D77" s="97">
        <f>IF(B77&gt;'foglio deposito'!$F$29,2*'foglio deposito'!$D$30/(-'foglio deposito'!$F$29)*(B77^2/2-(-B77)^3/(-6*'foglio deposito'!$F$29)),2*'foglio deposito'!$D$30/(-'foglio deposito'!$F$29)*('foglio deposito'!$F$29^2/2-(-'foglio deposito'!$F$29)^3/(-6*'foglio deposito'!$F$29))+'foglio deposito'!$D$30*(ABS(B77)-ABS('foglio deposito'!$F$29)))</f>
        <v>3.5215055555555548E-2</v>
      </c>
      <c r="E77" s="97">
        <f>IF(ABS(B77)&lt;ABS('foglio deposito'!$F$29),-2*'foglio deposito'!$D$30/(-'foglio deposito'!$F$29)*(-B77^3/3-(B77)^4/(-8*'foglio deposito'!$F$29)),-(2*'foglio deposito'!$D$30/(-'foglio deposito'!$F$29)*(ABS('foglio deposito'!$F$29)^3/3-ABS('foglio deposito'!$F$29)^4/(-8*'foglio deposito'!$F$29))+'foglio deposito'!$D$30/2*(ABS(B77)^2-ABS('foglio deposito'!$F$29)^2)))</f>
        <v>-5.3341206527777793E-5</v>
      </c>
      <c r="F77" s="98">
        <f>D77/('foglio deposito'!$F$22*'foglio deposito'!$L$34)</f>
        <v>0.5195238095238095</v>
      </c>
      <c r="G77" s="98">
        <f t="shared" si="5"/>
        <v>0.39045178495353394</v>
      </c>
      <c r="H77" s="101">
        <f t="shared" si="6"/>
        <v>-1.5147273143904683E-3</v>
      </c>
      <c r="I77" s="30">
        <f t="shared" si="7"/>
        <v>-7.5617495686001064</v>
      </c>
      <c r="J77" s="90"/>
      <c r="K77" s="19"/>
      <c r="L77" s="19"/>
      <c r="P77" s="19"/>
      <c r="Q77" s="19"/>
      <c r="R77" s="19"/>
      <c r="S77" s="19"/>
      <c r="T77" s="19"/>
    </row>
    <row r="78" spans="2:20" x14ac:dyDescent="0.3">
      <c r="B78" s="96">
        <f>'foglio deposito'!$L$34/'foglio deposito'!$B$141*'foglio deposito'!B113</f>
        <v>-2.5200000000000001E-3</v>
      </c>
      <c r="C78" s="30">
        <f>IF(B78&gt;'foglio deposito'!$L$33,2*'foglio deposito'!$F$22/'foglio deposito'!$L$33*(B78-B78^2/(2*'foglio deposito'!$L$33)),'foglio deposito'!$F$22)</f>
        <v>-19.366666666666664</v>
      </c>
      <c r="D78" s="97">
        <f>IF(B78&gt;'foglio deposito'!$F$29,2*'foglio deposito'!$D$30/(-'foglio deposito'!$F$29)*(B78^2/2-(-B78)^3/(-6*'foglio deposito'!$F$29)),2*'foglio deposito'!$D$30/(-'foglio deposito'!$F$29)*('foglio deposito'!$F$29^2/2-(-'foglio deposito'!$F$29)^3/(-6*'foglio deposito'!$F$29))+'foglio deposito'!$D$30*(ABS(B78)-ABS('foglio deposito'!$F$29)))</f>
        <v>3.5892888888888884E-2</v>
      </c>
      <c r="E78" s="97">
        <f>IF(ABS(B78)&lt;ABS('foglio deposito'!$F$29),-2*'foglio deposito'!$D$30/(-'foglio deposito'!$F$29)*(-B78^3/3-(B78)^4/(-8*'foglio deposito'!$F$29)),-(2*'foglio deposito'!$D$30/(-'foglio deposito'!$F$29)*(ABS('foglio deposito'!$F$29)^3/3-ABS('foglio deposito'!$F$29)^4/(-8*'foglio deposito'!$F$29))+'foglio deposito'!$D$30/2*(ABS(B78)^2-ABS('foglio deposito'!$F$29)^2)))</f>
        <v>-5.5037484444444448E-5</v>
      </c>
      <c r="F78" s="98">
        <f>D78/('foglio deposito'!$F$22*'foglio deposito'!$L$34)</f>
        <v>0.52952380952380951</v>
      </c>
      <c r="G78" s="98">
        <f t="shared" si="5"/>
        <v>0.39151535914125835</v>
      </c>
      <c r="H78" s="101">
        <f t="shared" si="6"/>
        <v>-1.533381294964029E-3</v>
      </c>
      <c r="I78" s="30">
        <f t="shared" si="7"/>
        <v>-7.5823474553690353</v>
      </c>
      <c r="J78" s="90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2:20" x14ac:dyDescent="0.3">
      <c r="B79" s="96">
        <f>'foglio deposito'!$L$34/'foglio deposito'!$B$141*'foglio deposito'!B114</f>
        <v>-2.5550000000000004E-3</v>
      </c>
      <c r="C79" s="30">
        <f>IF(B79&gt;'foglio deposito'!$L$33,2*'foglio deposito'!$F$22/'foglio deposito'!$L$33*(B79-B79^2/(2*'foglio deposito'!$L$33)),'foglio deposito'!$F$22)</f>
        <v>-19.366666666666664</v>
      </c>
      <c r="D79" s="97">
        <f>IF(B79&gt;'foglio deposito'!$F$29,2*'foglio deposito'!$D$30/(-'foglio deposito'!$F$29)*(B79^2/2-(-B79)^3/(-6*'foglio deposito'!$F$29)),2*'foglio deposito'!$D$30/(-'foglio deposito'!$F$29)*('foglio deposito'!$F$29^2/2-(-'foglio deposito'!$F$29)^3/(-6*'foglio deposito'!$F$29))+'foglio deposito'!$D$30*(ABS(B79)-ABS('foglio deposito'!$F$29)))</f>
        <v>3.657072222222222E-2</v>
      </c>
      <c r="E79" s="97">
        <f>IF(ABS(B79)&lt;ABS('foglio deposito'!$F$29),-2*'foglio deposito'!$D$30/(-'foglio deposito'!$F$29)*(-B79^3/3-(B79)^4/(-8*'foglio deposito'!$F$29)),-(2*'foglio deposito'!$D$30/(-'foglio deposito'!$F$29)*(ABS('foglio deposito'!$F$29)^3/3-ABS('foglio deposito'!$F$29)^4/(-8*'foglio deposito'!$F$29))+'foglio deposito'!$D$30/2*(ABS(B79)^2-ABS('foglio deposito'!$F$29)^2)))</f>
        <v>-5.6757486527777795E-5</v>
      </c>
      <c r="F79" s="98">
        <f>D79/('foglio deposito'!$F$22*'foglio deposito'!$L$34)</f>
        <v>0.53952380952380963</v>
      </c>
      <c r="G79" s="98">
        <f t="shared" si="5"/>
        <v>0.3925665370671354</v>
      </c>
      <c r="H79" s="101">
        <f t="shared" si="6"/>
        <v>-1.5519924977934693E-3</v>
      </c>
      <c r="I79" s="30">
        <f t="shared" si="7"/>
        <v>-7.6027052678668543</v>
      </c>
      <c r="J79" s="90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2:20" x14ac:dyDescent="0.3">
      <c r="B80" s="96">
        <f>'foglio deposito'!$L$34/'foglio deposito'!$B$141*'foglio deposito'!B115</f>
        <v>-2.5900000000000003E-3</v>
      </c>
      <c r="C80" s="30">
        <f>IF(B80&gt;'foglio deposito'!$L$33,2*'foglio deposito'!$F$22/'foglio deposito'!$L$33*(B80-B80^2/(2*'foglio deposito'!$L$33)),'foglio deposito'!$F$22)</f>
        <v>-19.366666666666664</v>
      </c>
      <c r="D80" s="97">
        <f>IF(B80&gt;'foglio deposito'!$F$29,2*'foglio deposito'!$D$30/(-'foglio deposito'!$F$29)*(B80^2/2-(-B80)^3/(-6*'foglio deposito'!$F$29)),2*'foglio deposito'!$D$30/(-'foglio deposito'!$F$29)*('foglio deposito'!$F$29^2/2-(-'foglio deposito'!$F$29)^3/(-6*'foglio deposito'!$F$29))+'foglio deposito'!$D$30*(ABS(B80)-ABS('foglio deposito'!$F$29)))</f>
        <v>3.7248555555555549E-2</v>
      </c>
      <c r="E80" s="97">
        <f>IF(ABS(B80)&lt;ABS('foglio deposito'!$F$29),-2*'foglio deposito'!$D$30/(-'foglio deposito'!$F$29)*(-B80^3/3-(B80)^4/(-8*'foglio deposito'!$F$29)),-(2*'foglio deposito'!$D$30/(-'foglio deposito'!$F$29)*(ABS('foglio deposito'!$F$29)^3/3-ABS('foglio deposito'!$F$29)^4/(-8*'foglio deposito'!$F$29))+'foglio deposito'!$D$30/2*(ABS(B80)^2-ABS('foglio deposito'!$F$29)^2)))</f>
        <v>-5.8501212777777793E-5</v>
      </c>
      <c r="F80" s="98">
        <f>D80/('foglio deposito'!$F$22*'foglio deposito'!$L$34)</f>
        <v>0.54952380952380953</v>
      </c>
      <c r="G80" s="98">
        <f t="shared" si="5"/>
        <v>0.39360491960145316</v>
      </c>
      <c r="H80" s="101">
        <f t="shared" si="6"/>
        <v>-1.5705632582322365E-3</v>
      </c>
      <c r="I80" s="30">
        <f t="shared" si="7"/>
        <v>-7.6228152762814751</v>
      </c>
      <c r="J80" s="90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2:20" x14ac:dyDescent="0.3">
      <c r="B81" s="96">
        <f>'foglio deposito'!$L$34/'foglio deposito'!$B$141*'foglio deposito'!B116</f>
        <v>-2.6250000000000002E-3</v>
      </c>
      <c r="C81" s="30">
        <f>IF(B81&gt;'foglio deposito'!$L$33,2*'foglio deposito'!$F$22/'foglio deposito'!$L$33*(B81-B81^2/(2*'foglio deposito'!$L$33)),'foglio deposito'!$F$22)</f>
        <v>-19.366666666666664</v>
      </c>
      <c r="D81" s="97">
        <f>IF(B81&gt;'foglio deposito'!$F$29,2*'foglio deposito'!$D$30/(-'foglio deposito'!$F$29)*(B81^2/2-(-B81)^3/(-6*'foglio deposito'!$F$29)),2*'foglio deposito'!$D$30/(-'foglio deposito'!$F$29)*('foglio deposito'!$F$29^2/2-(-'foglio deposito'!$F$29)^3/(-6*'foglio deposito'!$F$29))+'foglio deposito'!$D$30*(ABS(B81)-ABS('foglio deposito'!$F$29)))</f>
        <v>3.7926388888888884E-2</v>
      </c>
      <c r="E81" s="97">
        <f>IF(ABS(B81)&lt;ABS('foglio deposito'!$F$29),-2*'foglio deposito'!$D$30/(-'foglio deposito'!$F$29)*(-B81^3/3-(B81)^4/(-8*'foglio deposito'!$F$29)),-(2*'foglio deposito'!$D$30/(-'foglio deposito'!$F$29)*(ABS('foglio deposito'!$F$29)^3/3-ABS('foglio deposito'!$F$29)^4/(-8*'foglio deposito'!$F$29))+'foglio deposito'!$D$30/2*(ABS(B81)^2-ABS('foglio deposito'!$F$29)^2)))</f>
        <v>-6.026866319444445E-5</v>
      </c>
      <c r="F81" s="98">
        <f>D81/('foglio deposito'!$F$22*'foglio deposito'!$L$34)</f>
        <v>0.55952380952380953</v>
      </c>
      <c r="G81" s="98">
        <f t="shared" si="5"/>
        <v>0.39463019250253284</v>
      </c>
      <c r="H81" s="101">
        <f t="shared" si="6"/>
        <v>-1.5890957446808515E-3</v>
      </c>
      <c r="I81" s="30">
        <f t="shared" si="7"/>
        <v>-7.6426713947990512</v>
      </c>
      <c r="J81" s="90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2:20" x14ac:dyDescent="0.3">
      <c r="B82" s="96">
        <f>'foglio deposito'!$L$34/'foglio deposito'!$B$141*'foglio deposito'!B117</f>
        <v>-2.6600000000000005E-3</v>
      </c>
      <c r="C82" s="30">
        <f>IF(B82&gt;'foglio deposito'!$L$33,2*'foglio deposito'!$F$22/'foglio deposito'!$L$33*(B82-B82^2/(2*'foglio deposito'!$L$33)),'foglio deposito'!$F$22)</f>
        <v>-19.366666666666664</v>
      </c>
      <c r="D82" s="97">
        <f>IF(B82&gt;'foglio deposito'!$F$29,2*'foglio deposito'!$D$30/(-'foglio deposito'!$F$29)*(B82^2/2-(-B82)^3/(-6*'foglio deposito'!$F$29)),2*'foglio deposito'!$D$30/(-'foglio deposito'!$F$29)*('foglio deposito'!$F$29^2/2-(-'foglio deposito'!$F$29)^3/(-6*'foglio deposito'!$F$29))+'foglio deposito'!$D$30*(ABS(B82)-ABS('foglio deposito'!$F$29)))</f>
        <v>3.860422222222222E-2</v>
      </c>
      <c r="E82" s="97">
        <f>IF(ABS(B82)&lt;ABS('foglio deposito'!$F$29),-2*'foglio deposito'!$D$30/(-'foglio deposito'!$F$29)*(-B82^3/3-(B82)^4/(-8*'foglio deposito'!$F$29)),-(2*'foglio deposito'!$D$30/(-'foglio deposito'!$F$29)*(ABS('foglio deposito'!$F$29)^3/3-ABS('foglio deposito'!$F$29)^4/(-8*'foglio deposito'!$F$29))+'foglio deposito'!$D$30/2*(ABS(B82)^2-ABS('foglio deposito'!$F$29)^2)))</f>
        <v>-6.2059837777777798E-5</v>
      </c>
      <c r="F82" s="98">
        <f>D82/('foglio deposito'!$F$22*'foglio deposito'!$L$34)</f>
        <v>0.56952380952380965</v>
      </c>
      <c r="G82" s="98">
        <f t="shared" si="5"/>
        <v>0.39564211532174909</v>
      </c>
      <c r="H82" s="101">
        <f t="shared" si="6"/>
        <v>-1.6075919732441478E-3</v>
      </c>
      <c r="I82" s="30">
        <f t="shared" si="7"/>
        <v>-7.6622689667312063</v>
      </c>
      <c r="J82" s="90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2:20" x14ac:dyDescent="0.3">
      <c r="B83" s="96">
        <f>'foglio deposito'!$L$34/'foglio deposito'!$B$141*'foglio deposito'!B118</f>
        <v>-2.6950000000000003E-3</v>
      </c>
      <c r="C83" s="30">
        <f>IF(B83&gt;'foglio deposito'!$L$33,2*'foglio deposito'!$F$22/'foglio deposito'!$L$33*(B83-B83^2/(2*'foglio deposito'!$L$33)),'foglio deposito'!$F$22)</f>
        <v>-19.366666666666664</v>
      </c>
      <c r="D83" s="97">
        <f>IF(B83&gt;'foglio deposito'!$F$29,2*'foglio deposito'!$D$30/(-'foglio deposito'!$F$29)*(B83^2/2-(-B83)^3/(-6*'foglio deposito'!$F$29)),2*'foglio deposito'!$D$30/(-'foglio deposito'!$F$29)*('foglio deposito'!$F$29^2/2-(-'foglio deposito'!$F$29)^3/(-6*'foglio deposito'!$F$29))+'foglio deposito'!$D$30*(ABS(B83)-ABS('foglio deposito'!$F$29)))</f>
        <v>3.9282055555555556E-2</v>
      </c>
      <c r="E83" s="97">
        <f>IF(ABS(B83)&lt;ABS('foglio deposito'!$F$29),-2*'foglio deposito'!$D$30/(-'foglio deposito'!$F$29)*(-B83^3/3-(B83)^4/(-8*'foglio deposito'!$F$29)),-(2*'foglio deposito'!$D$30/(-'foglio deposito'!$F$29)*(ABS('foglio deposito'!$F$29)^3/3-ABS('foglio deposito'!$F$29)^4/(-8*'foglio deposito'!$F$29))+'foglio deposito'!$D$30/2*(ABS(B83)^2-ABS('foglio deposito'!$F$29)^2)))</f>
        <v>-6.3874736527777792E-5</v>
      </c>
      <c r="F83" s="98">
        <f>D83/('foglio deposito'!$F$22*'foglio deposito'!$L$34)</f>
        <v>0.57952380952380966</v>
      </c>
      <c r="G83" s="98">
        <f t="shared" si="5"/>
        <v>0.3966405117361802</v>
      </c>
      <c r="H83" s="101">
        <f t="shared" si="6"/>
        <v>-1.6260538208709946E-3</v>
      </c>
      <c r="I83" s="30">
        <f t="shared" si="7"/>
        <v>-7.6816045772906882</v>
      </c>
      <c r="J83" s="90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2:20" x14ac:dyDescent="0.3">
      <c r="B84" s="96">
        <f>'foglio deposito'!$L$34/'foglio deposito'!$B$141*'foglio deposito'!B119</f>
        <v>-2.7300000000000002E-3</v>
      </c>
      <c r="C84" s="30">
        <f>IF(B84&gt;'foglio deposito'!$L$33,2*'foglio deposito'!$F$22/'foglio deposito'!$L$33*(B84-B84^2/(2*'foglio deposito'!$L$33)),'foglio deposito'!$F$22)</f>
        <v>-19.366666666666664</v>
      </c>
      <c r="D84" s="97">
        <f>IF(B84&gt;'foglio deposito'!$F$29,2*'foglio deposito'!$D$30/(-'foglio deposito'!$F$29)*(B84^2/2-(-B84)^3/(-6*'foglio deposito'!$F$29)),2*'foglio deposito'!$D$30/(-'foglio deposito'!$F$29)*('foglio deposito'!$F$29^2/2-(-'foglio deposito'!$F$29)^3/(-6*'foglio deposito'!$F$29))+'foglio deposito'!$D$30*(ABS(B84)-ABS('foglio deposito'!$F$29)))</f>
        <v>3.9959888888888885E-2</v>
      </c>
      <c r="E84" s="97">
        <f>IF(ABS(B84)&lt;ABS('foglio deposito'!$F$29),-2*'foglio deposito'!$D$30/(-'foglio deposito'!$F$29)*(-B84^3/3-(B84)^4/(-8*'foglio deposito'!$F$29)),-(2*'foglio deposito'!$D$30/(-'foglio deposito'!$F$29)*(ABS('foglio deposito'!$F$29)^3/3-ABS('foglio deposito'!$F$29)^4/(-8*'foglio deposito'!$F$29))+'foglio deposito'!$D$30/2*(ABS(B84)^2-ABS('foglio deposito'!$F$29)^2)))</f>
        <v>-6.5713359444444463E-5</v>
      </c>
      <c r="F84" s="98">
        <f>D84/('foglio deposito'!$F$22*'foglio deposito'!$L$34)</f>
        <v>0.58952380952380956</v>
      </c>
      <c r="G84" s="98">
        <f t="shared" si="5"/>
        <v>0.39762526111476015</v>
      </c>
      <c r="H84" s="101">
        <f t="shared" si="6"/>
        <v>-1.644483037156705E-3</v>
      </c>
      <c r="I84" s="30">
        <f t="shared" si="7"/>
        <v>-7.7006758902558534</v>
      </c>
      <c r="J84" s="90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2:20" x14ac:dyDescent="0.3">
      <c r="B85" s="96">
        <f>'foglio deposito'!$L$34/'foglio deposito'!$B$141*'foglio deposito'!B120</f>
        <v>-2.7650000000000001E-3</v>
      </c>
      <c r="C85" s="30">
        <f>IF(B85&gt;'foglio deposito'!$L$33,2*'foglio deposito'!$F$22/'foglio deposito'!$L$33*(B85-B85^2/(2*'foglio deposito'!$L$33)),'foglio deposito'!$F$22)</f>
        <v>-19.366666666666664</v>
      </c>
      <c r="D85" s="97">
        <f>IF(B85&gt;'foglio deposito'!$F$29,2*'foglio deposito'!$D$30/(-'foglio deposito'!$F$29)*(B85^2/2-(-B85)^3/(-6*'foglio deposito'!$F$29)),2*'foglio deposito'!$D$30/(-'foglio deposito'!$F$29)*('foglio deposito'!$F$29^2/2-(-'foglio deposito'!$F$29)^3/(-6*'foglio deposito'!$F$29))+'foglio deposito'!$D$30*(ABS(B85)-ABS('foglio deposito'!$F$29)))</f>
        <v>4.0637722222222214E-2</v>
      </c>
      <c r="E85" s="97">
        <f>IF(ABS(B85)&lt;ABS('foglio deposito'!$F$29),-2*'foglio deposito'!$D$30/(-'foglio deposito'!$F$29)*(-B85^3/3-(B85)^4/(-8*'foglio deposito'!$F$29)),-(2*'foglio deposito'!$D$30/(-'foglio deposito'!$F$29)*(ABS('foglio deposito'!$F$29)^3/3-ABS('foglio deposito'!$F$29)^4/(-8*'foglio deposito'!$F$29))+'foglio deposito'!$D$30/2*(ABS(B85)^2-ABS('foglio deposito'!$F$29)^2)))</f>
        <v>-6.7575706527777787E-5</v>
      </c>
      <c r="F85" s="98">
        <f>D85/('foglio deposito'!$F$22*'foglio deposito'!$L$34)</f>
        <v>0.59952380952380957</v>
      </c>
      <c r="G85" s="98">
        <f t="shared" si="5"/>
        <v>0.3985962911521671</v>
      </c>
      <c r="H85" s="101">
        <f t="shared" si="6"/>
        <v>-1.662881254964258E-3</v>
      </c>
      <c r="I85" s="30">
        <f t="shared" si="7"/>
        <v>-7.7194815053136354</v>
      </c>
      <c r="J85" s="90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2:20" x14ac:dyDescent="0.3">
      <c r="B86" s="96">
        <f>'foglio deposito'!$L$34/'foglio deposito'!$B$141*'foglio deposito'!B121</f>
        <v>-2.8000000000000004E-3</v>
      </c>
      <c r="C86" s="30">
        <f>IF(B86&gt;'foglio deposito'!$L$33,2*'foglio deposito'!$F$22/'foglio deposito'!$L$33*(B86-B86^2/(2*'foglio deposito'!$L$33)),'foglio deposito'!$F$22)</f>
        <v>-19.366666666666664</v>
      </c>
      <c r="D86" s="97">
        <f>IF(B86&gt;'foglio deposito'!$F$29,2*'foglio deposito'!$D$30/(-'foglio deposito'!$F$29)*(B86^2/2-(-B86)^3/(-6*'foglio deposito'!$F$29)),2*'foglio deposito'!$D$30/(-'foglio deposito'!$F$29)*('foglio deposito'!$F$29^2/2-(-'foglio deposito'!$F$29)^3/(-6*'foglio deposito'!$F$29))+'foglio deposito'!$D$30*(ABS(B86)-ABS('foglio deposito'!$F$29)))</f>
        <v>4.131555555555555E-2</v>
      </c>
      <c r="E86" s="97">
        <f>IF(ABS(B86)&lt;ABS('foglio deposito'!$F$29),-2*'foglio deposito'!$D$30/(-'foglio deposito'!$F$29)*(-B86^3/3-(B86)^4/(-8*'foglio deposito'!$F$29)),-(2*'foglio deposito'!$D$30/(-'foglio deposito'!$F$29)*(ABS('foglio deposito'!$F$29)^3/3-ABS('foglio deposito'!$F$29)^4/(-8*'foglio deposito'!$F$29))+'foglio deposito'!$D$30/2*(ABS(B86)^2-ABS('foglio deposito'!$F$29)^2)))</f>
        <v>-6.9461777777777802E-5</v>
      </c>
      <c r="F86" s="98">
        <f>D86/('foglio deposito'!$F$22*'foglio deposito'!$L$34)</f>
        <v>0.60952380952380958</v>
      </c>
      <c r="G86" s="98">
        <f t="shared" si="5"/>
        <v>0.39955357142857117</v>
      </c>
      <c r="H86" s="101">
        <f t="shared" si="6"/>
        <v>-1.6812500000000009E-3</v>
      </c>
      <c r="I86" s="30">
        <f t="shared" si="7"/>
        <v>-7.7380208333333274</v>
      </c>
      <c r="J86" s="90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2:20" x14ac:dyDescent="0.3">
      <c r="B87" s="96">
        <f>'foglio deposito'!$L$34/'foglio deposito'!$B$141*'foglio deposito'!B122</f>
        <v>-2.8350000000000003E-3</v>
      </c>
      <c r="C87" s="30">
        <f>IF(B87&gt;'foglio deposito'!$L$33,2*'foglio deposito'!$F$22/'foglio deposito'!$L$33*(B87-B87^2/(2*'foglio deposito'!$L$33)),'foglio deposito'!$F$22)</f>
        <v>-19.366666666666664</v>
      </c>
      <c r="D87" s="97">
        <f>IF(B87&gt;'foglio deposito'!$F$29,2*'foglio deposito'!$D$30/(-'foglio deposito'!$F$29)*(B87^2/2-(-B87)^3/(-6*'foglio deposito'!$F$29)),2*'foglio deposito'!$D$30/(-'foglio deposito'!$F$29)*('foglio deposito'!$F$29^2/2-(-'foglio deposito'!$F$29)^3/(-6*'foglio deposito'!$F$29))+'foglio deposito'!$D$30*(ABS(B87)-ABS('foglio deposito'!$F$29)))</f>
        <v>4.1993388888888886E-2</v>
      </c>
      <c r="E87" s="97">
        <f>IF(ABS(B87)&lt;ABS('foglio deposito'!$F$29),-2*'foglio deposito'!$D$30/(-'foglio deposito'!$F$29)*(-B87^3/3-(B87)^4/(-8*'foglio deposito'!$F$29)),-(2*'foglio deposito'!$D$30/(-'foglio deposito'!$F$29)*(ABS('foglio deposito'!$F$29)^3/3-ABS('foglio deposito'!$F$29)^4/(-8*'foglio deposito'!$F$29))+'foglio deposito'!$D$30/2*(ABS(B87)^2-ABS('foglio deposito'!$F$29)^2)))</f>
        <v>-7.1371573194444455E-5</v>
      </c>
      <c r="F87" s="98">
        <f>D87/('foglio deposito'!$F$22*'foglio deposito'!$L$34)</f>
        <v>0.61952380952380959</v>
      </c>
      <c r="G87" s="98">
        <f t="shared" si="5"/>
        <v>0.40049710777356173</v>
      </c>
      <c r="H87" s="101">
        <f t="shared" si="6"/>
        <v>-1.6995906994619527E-3</v>
      </c>
      <c r="I87" s="30">
        <f t="shared" si="7"/>
        <v>-7.7562939872146446</v>
      </c>
      <c r="J87" s="90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2:20" x14ac:dyDescent="0.3">
      <c r="B88" s="96">
        <f>'foglio deposito'!$L$34/'foglio deposito'!$B$141*'foglio deposito'!B123</f>
        <v>-2.8700000000000002E-3</v>
      </c>
      <c r="C88" s="30">
        <f>IF(B88&gt;'foglio deposito'!$L$33,2*'foglio deposito'!$F$22/'foglio deposito'!$L$33*(B88-B88^2/(2*'foglio deposito'!$L$33)),'foglio deposito'!$F$22)</f>
        <v>-19.366666666666664</v>
      </c>
      <c r="D88" s="97">
        <f>IF(B88&gt;'foglio deposito'!$F$29,2*'foglio deposito'!$D$30/(-'foglio deposito'!$F$29)*(B88^2/2-(-B88)^3/(-6*'foglio deposito'!$F$29)),2*'foglio deposito'!$D$30/(-'foglio deposito'!$F$29)*('foglio deposito'!$F$29^2/2-(-'foglio deposito'!$F$29)^3/(-6*'foglio deposito'!$F$29))+'foglio deposito'!$D$30*(ABS(B88)-ABS('foglio deposito'!$F$29)))</f>
        <v>4.2671222222222215E-2</v>
      </c>
      <c r="E88" s="97">
        <f>IF(ABS(B88)&lt;ABS('foglio deposito'!$F$29),-2*'foglio deposito'!$D$30/(-'foglio deposito'!$F$29)*(-B88^3/3-(B88)^4/(-8*'foglio deposito'!$F$29)),-(2*'foglio deposito'!$D$30/(-'foglio deposito'!$F$29)*(ABS('foglio deposito'!$F$29)^3/3-ABS('foglio deposito'!$F$29)^4/(-8*'foglio deposito'!$F$29))+'foglio deposito'!$D$30/2*(ABS(B88)^2-ABS('foglio deposito'!$F$29)^2)))</f>
        <v>-7.3305092777777774E-5</v>
      </c>
      <c r="F88" s="98">
        <f>D88/('foglio deposito'!$F$22*'foglio deposito'!$L$34)</f>
        <v>0.62952380952380949</v>
      </c>
      <c r="G88" s="98">
        <f t="shared" si="5"/>
        <v>0.4014269373296715</v>
      </c>
      <c r="H88" s="101">
        <f t="shared" si="6"/>
        <v>-1.7179046898638428E-3</v>
      </c>
      <c r="I88" s="30">
        <f t="shared" si="7"/>
        <v>-7.7743016862846366</v>
      </c>
      <c r="J88" s="90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2:20" x14ac:dyDescent="0.3">
      <c r="B89" s="96">
        <f>'foglio deposito'!$L$34/'foglio deposito'!$B$141*'foglio deposito'!B124</f>
        <v>-2.9050000000000005E-3</v>
      </c>
      <c r="C89" s="30">
        <f>IF(B89&gt;'foglio deposito'!$L$33,2*'foglio deposito'!$F$22/'foglio deposito'!$L$33*(B89-B89^2/(2*'foglio deposito'!$L$33)),'foglio deposito'!$F$22)</f>
        <v>-19.366666666666664</v>
      </c>
      <c r="D89" s="97">
        <f>IF(B89&gt;'foglio deposito'!$F$29,2*'foglio deposito'!$D$30/(-'foglio deposito'!$F$29)*(B89^2/2-(-B89)^3/(-6*'foglio deposito'!$F$29)),2*'foglio deposito'!$D$30/(-'foglio deposito'!$F$29)*('foglio deposito'!$F$29^2/2-(-'foglio deposito'!$F$29)^3/(-6*'foglio deposito'!$F$29))+'foglio deposito'!$D$30*(ABS(B89)-ABS('foglio deposito'!$F$29)))</f>
        <v>4.3349055555555557E-2</v>
      </c>
      <c r="E89" s="97">
        <f>IF(ABS(B89)&lt;ABS('foglio deposito'!$F$29),-2*'foglio deposito'!$D$30/(-'foglio deposito'!$F$29)*(-B89^3/3-(B89)^4/(-8*'foglio deposito'!$F$29)),-(2*'foglio deposito'!$D$30/(-'foglio deposito'!$F$29)*(ABS('foglio deposito'!$F$29)^3/3-ABS('foglio deposito'!$F$29)^4/(-8*'foglio deposito'!$F$29))+'foglio deposito'!$D$30/2*(ABS(B89)^2-ABS('foglio deposito'!$F$29)^2)))</f>
        <v>-7.5262336527777811E-5</v>
      </c>
      <c r="F89" s="98">
        <f>D89/('foglio deposito'!$F$22*'foglio deposito'!$L$34)</f>
        <v>0.63952380952380972</v>
      </c>
      <c r="G89" s="98">
        <f t="shared" si="5"/>
        <v>0.40234312422544116</v>
      </c>
      <c r="H89" s="101">
        <f t="shared" si="6"/>
        <v>-1.7361932241250937E-3</v>
      </c>
      <c r="I89" s="30">
        <f t="shared" si="7"/>
        <v>-7.7920451724993756</v>
      </c>
      <c r="J89" s="90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2:20" x14ac:dyDescent="0.3">
      <c r="B90" s="96">
        <f>'foglio deposito'!$L$34/'foglio deposito'!$B$141*'foglio deposito'!B125</f>
        <v>-2.9400000000000003E-3</v>
      </c>
      <c r="C90" s="30">
        <f>IF(B90&gt;'foglio deposito'!$L$33,2*'foglio deposito'!$F$22/'foglio deposito'!$L$33*(B90-B90^2/(2*'foglio deposito'!$L$33)),'foglio deposito'!$F$22)</f>
        <v>-19.366666666666664</v>
      </c>
      <c r="D90" s="97">
        <f>IF(B90&gt;'foglio deposito'!$F$29,2*'foglio deposito'!$D$30/(-'foglio deposito'!$F$29)*(B90^2/2-(-B90)^3/(-6*'foglio deposito'!$F$29)),2*'foglio deposito'!$D$30/(-'foglio deposito'!$F$29)*('foglio deposito'!$F$29^2/2-(-'foglio deposito'!$F$29)^3/(-6*'foglio deposito'!$F$29))+'foglio deposito'!$D$30*(ABS(B90)-ABS('foglio deposito'!$F$29)))</f>
        <v>4.4026888888888886E-2</v>
      </c>
      <c r="E90" s="97">
        <f>IF(ABS(B90)&lt;ABS('foglio deposito'!$F$29),-2*'foglio deposito'!$D$30/(-'foglio deposito'!$F$29)*(-B90^3/3-(B90)^4/(-8*'foglio deposito'!$F$29)),-(2*'foglio deposito'!$D$30/(-'foglio deposito'!$F$29)*(ABS('foglio deposito'!$F$29)^3/3-ABS('foglio deposito'!$F$29)^4/(-8*'foglio deposito'!$F$29))+'foglio deposito'!$D$30/2*(ABS(B90)^2-ABS('foglio deposito'!$F$29)^2)))</f>
        <v>-7.7243304444444459E-5</v>
      </c>
      <c r="F90" s="98">
        <f>D90/('foglio deposito'!$F$22*'foglio deposito'!$L$34)</f>
        <v>0.64952380952380961</v>
      </c>
      <c r="G90" s="98">
        <f t="shared" si="5"/>
        <v>0.40324575578031785</v>
      </c>
      <c r="H90" s="101">
        <f t="shared" si="6"/>
        <v>-1.7544574780058656E-3</v>
      </c>
      <c r="I90" s="30">
        <f t="shared" si="7"/>
        <v>-7.8095261369454878</v>
      </c>
      <c r="J90" s="90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2:20" x14ac:dyDescent="0.3">
      <c r="B91" s="96">
        <f>'foglio deposito'!$L$34/'foglio deposito'!$B$141*'foglio deposito'!B126</f>
        <v>-2.9750000000000002E-3</v>
      </c>
      <c r="C91" s="30">
        <f>IF(B91&gt;'foglio deposito'!$L$33,2*'foglio deposito'!$F$22/'foglio deposito'!$L$33*(B91-B91^2/(2*'foglio deposito'!$L$33)),'foglio deposito'!$F$22)</f>
        <v>-19.366666666666664</v>
      </c>
      <c r="D91" s="97">
        <f>IF(B91&gt;'foglio deposito'!$F$29,2*'foglio deposito'!$D$30/(-'foglio deposito'!$F$29)*(B91^2/2-(-B91)^3/(-6*'foglio deposito'!$F$29)),2*'foglio deposito'!$D$30/(-'foglio deposito'!$F$29)*('foglio deposito'!$F$29^2/2-(-'foglio deposito'!$F$29)^3/(-6*'foglio deposito'!$F$29))+'foglio deposito'!$D$30*(ABS(B91)-ABS('foglio deposito'!$F$29)))</f>
        <v>4.4704722222222215E-2</v>
      </c>
      <c r="E91" s="97">
        <f>IF(ABS(B91)&lt;ABS('foglio deposito'!$F$29),-2*'foglio deposito'!$D$30/(-'foglio deposito'!$F$29)*(-B91^3/3-(B91)^4/(-8*'foglio deposito'!$F$29)),-(2*'foglio deposito'!$D$30/(-'foglio deposito'!$F$29)*(ABS('foglio deposito'!$F$29)^3/3-ABS('foglio deposito'!$F$29)^4/(-8*'foglio deposito'!$F$29))+'foglio deposito'!$D$30/2*(ABS(B91)^2-ABS('foglio deposito'!$F$29)^2)))</f>
        <v>-7.9247996527777786E-5</v>
      </c>
      <c r="F91" s="98">
        <f>D91/('foglio deposito'!$F$22*'foglio deposito'!$L$34)</f>
        <v>0.65952380952380951</v>
      </c>
      <c r="G91" s="98">
        <f t="shared" si="5"/>
        <v>0.40413493917422549</v>
      </c>
      <c r="H91" s="101">
        <f t="shared" si="6"/>
        <v>-1.7726985559566792E-3</v>
      </c>
      <c r="I91" s="30">
        <f t="shared" si="7"/>
        <v>-7.8267466553408322</v>
      </c>
      <c r="J91" s="90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2:20" x14ac:dyDescent="0.3">
      <c r="B92" s="96">
        <f>'foglio deposito'!$L$34/'foglio deposito'!$B$141*'foglio deposito'!B127</f>
        <v>-3.0100000000000005E-3</v>
      </c>
      <c r="C92" s="30">
        <f>IF(B92&gt;'foglio deposito'!$L$33,2*'foglio deposito'!$F$22/'foglio deposito'!$L$33*(B92-B92^2/(2*'foglio deposito'!$L$33)),'foglio deposito'!$F$22)</f>
        <v>-19.366666666666664</v>
      </c>
      <c r="D92" s="97">
        <f>IF(B92&gt;'foglio deposito'!$F$29,2*'foglio deposito'!$D$30/(-'foglio deposito'!$F$29)*(B92^2/2-(-B92)^3/(-6*'foglio deposito'!$F$29)),2*'foglio deposito'!$D$30/(-'foglio deposito'!$F$29)*('foglio deposito'!$F$29^2/2-(-'foglio deposito'!$F$29)^3/(-6*'foglio deposito'!$F$29))+'foglio deposito'!$D$30*(ABS(B92)-ABS('foglio deposito'!$F$29)))</f>
        <v>4.5382555555555551E-2</v>
      </c>
      <c r="E92" s="97">
        <f>IF(ABS(B92)&lt;ABS('foglio deposito'!$F$29),-2*'foglio deposito'!$D$30/(-'foglio deposito'!$F$29)*(-B92^3/3-(B92)^4/(-8*'foglio deposito'!$F$29)),-(2*'foglio deposito'!$D$30/(-'foglio deposito'!$F$29)*(ABS('foglio deposito'!$F$29)^3/3-ABS('foglio deposito'!$F$29)^4/(-8*'foglio deposito'!$F$29))+'foglio deposito'!$D$30/2*(ABS(B92)^2-ABS('foglio deposito'!$F$29)^2)))</f>
        <v>-8.1276412777777805E-5</v>
      </c>
      <c r="F92" s="98">
        <f>D92/('foglio deposito'!$F$22*'foglio deposito'!$L$34)</f>
        <v>0.66952380952380963</v>
      </c>
      <c r="G92" s="98">
        <f t="shared" si="5"/>
        <v>0.40501079852365029</v>
      </c>
      <c r="H92" s="101">
        <f t="shared" si="6"/>
        <v>-1.7909174964438131E-3</v>
      </c>
      <c r="I92" s="30">
        <f t="shared" si="7"/>
        <v>-7.8437091314080263</v>
      </c>
      <c r="J92" s="90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2:20" x14ac:dyDescent="0.3">
      <c r="B93" s="96">
        <f>'foglio deposito'!$L$34/'foglio deposito'!$B$141*'foglio deposito'!B128</f>
        <v>-3.0450000000000004E-3</v>
      </c>
      <c r="C93" s="30">
        <f>IF(B93&gt;'foglio deposito'!$L$33,2*'foglio deposito'!$F$22/'foglio deposito'!$L$33*(B93-B93^2/(2*'foglio deposito'!$L$33)),'foglio deposito'!$F$22)</f>
        <v>-19.366666666666664</v>
      </c>
      <c r="D93" s="97">
        <f>IF(B93&gt;'foglio deposito'!$F$29,2*'foglio deposito'!$D$30/(-'foglio deposito'!$F$29)*(B93^2/2-(-B93)^3/(-6*'foglio deposito'!$F$29)),2*'foglio deposito'!$D$30/(-'foglio deposito'!$F$29)*('foglio deposito'!$F$29^2/2-(-'foglio deposito'!$F$29)^3/(-6*'foglio deposito'!$F$29))+'foglio deposito'!$D$30*(ABS(B93)-ABS('foglio deposito'!$F$29)))</f>
        <v>4.6060388888888887E-2</v>
      </c>
      <c r="E93" s="97">
        <f>IF(ABS(B93)&lt;ABS('foglio deposito'!$F$29),-2*'foglio deposito'!$D$30/(-'foglio deposito'!$F$29)*(-B93^3/3-(B93)^4/(-8*'foglio deposito'!$F$29)),-(2*'foglio deposito'!$D$30/(-'foglio deposito'!$F$29)*(ABS('foglio deposito'!$F$29)^3/3-ABS('foglio deposito'!$F$29)^4/(-8*'foglio deposito'!$F$29))+'foglio deposito'!$D$30/2*(ABS(B93)^2-ABS('foglio deposito'!$F$29)^2)))</f>
        <v>-8.3328553194444462E-5</v>
      </c>
      <c r="F93" s="98">
        <f>D93/('foglio deposito'!$F$22*'foglio deposito'!$L$34)</f>
        <v>0.67952380952380964</v>
      </c>
      <c r="G93" s="98">
        <f t="shared" si="5"/>
        <v>0.405873472313798</v>
      </c>
      <c r="H93" s="101">
        <f t="shared" si="6"/>
        <v>-1.8091152768044854E-3</v>
      </c>
      <c r="I93" s="30">
        <f t="shared" si="7"/>
        <v>-7.8604162471438865</v>
      </c>
      <c r="J93" s="90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2:20" x14ac:dyDescent="0.3">
      <c r="B94" s="96">
        <f>'foglio deposito'!$L$34/'foglio deposito'!$B$141*'foglio deposito'!B129</f>
        <v>-3.0800000000000003E-3</v>
      </c>
      <c r="C94" s="30">
        <f>IF(B94&gt;'foglio deposito'!$L$33,2*'foglio deposito'!$F$22/'foglio deposito'!$L$33*(B94-B94^2/(2*'foglio deposito'!$L$33)),'foglio deposito'!$F$22)</f>
        <v>-19.366666666666664</v>
      </c>
      <c r="D94" s="97">
        <f>IF(B94&gt;'foglio deposito'!$F$29,2*'foglio deposito'!$D$30/(-'foglio deposito'!$F$29)*(B94^2/2-(-B94)^3/(-6*'foglio deposito'!$F$29)),2*'foglio deposito'!$D$30/(-'foglio deposito'!$F$29)*('foglio deposito'!$F$29^2/2-(-'foglio deposito'!$F$29)^3/(-6*'foglio deposito'!$F$29))+'foglio deposito'!$D$30*(ABS(B94)-ABS('foglio deposito'!$F$29)))</f>
        <v>4.6738222222222216E-2</v>
      </c>
      <c r="E94" s="97">
        <f>IF(ABS(B94)&lt;ABS('foglio deposito'!$F$29),-2*'foglio deposito'!$D$30/(-'foglio deposito'!$F$29)*(-B94^3/3-(B94)^4/(-8*'foglio deposito'!$F$29)),-(2*'foglio deposito'!$D$30/(-'foglio deposito'!$F$29)*(ABS('foglio deposito'!$F$29)^3/3-ABS('foglio deposito'!$F$29)^4/(-8*'foglio deposito'!$F$29))+'foglio deposito'!$D$30/2*(ABS(B94)^2-ABS('foglio deposito'!$F$29)^2)))</f>
        <v>-8.5404417777777783E-5</v>
      </c>
      <c r="F94" s="98">
        <f>D94/('foglio deposito'!$F$22*'foglio deposito'!$L$34)</f>
        <v>0.68952380952380954</v>
      </c>
      <c r="G94" s="98">
        <f t="shared" si="5"/>
        <v>0.40672311114300064</v>
      </c>
      <c r="H94" s="101">
        <f t="shared" si="6"/>
        <v>-1.8272928176795583E-3</v>
      </c>
      <c r="I94" s="30">
        <f t="shared" si="7"/>
        <v>-7.8768709191361115</v>
      </c>
      <c r="J94" s="90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2:20" x14ac:dyDescent="0.3">
      <c r="B95" s="96">
        <f>'foglio deposito'!$L$34/'foglio deposito'!$B$141*'foglio deposito'!B130</f>
        <v>-3.1150000000000001E-3</v>
      </c>
      <c r="C95" s="30">
        <f>IF(B95&gt;'foglio deposito'!$L$33,2*'foglio deposito'!$F$22/'foglio deposito'!$L$33*(B95-B95^2/(2*'foglio deposito'!$L$33)),'foglio deposito'!$F$22)</f>
        <v>-19.366666666666664</v>
      </c>
      <c r="D95" s="97">
        <f>IF(B95&gt;'foglio deposito'!$F$29,2*'foglio deposito'!$D$30/(-'foglio deposito'!$F$29)*(B95^2/2-(-B95)^3/(-6*'foglio deposito'!$F$29)),2*'foglio deposito'!$D$30/(-'foglio deposito'!$F$29)*('foglio deposito'!$F$29^2/2-(-'foglio deposito'!$F$29)^3/(-6*'foglio deposito'!$F$29))+'foglio deposito'!$D$30*(ABS(B95)-ABS('foglio deposito'!$F$29)))</f>
        <v>4.7416055555555545E-2</v>
      </c>
      <c r="E95" s="97">
        <f>IF(ABS(B95)&lt;ABS('foglio deposito'!$F$29),-2*'foglio deposito'!$D$30/(-'foglio deposito'!$F$29)*(-B95^3/3-(B95)^4/(-8*'foglio deposito'!$F$29)),-(2*'foglio deposito'!$D$30/(-'foglio deposito'!$F$29)*(ABS('foglio deposito'!$F$29)^3/3-ABS('foglio deposito'!$F$29)^4/(-8*'foglio deposito'!$F$29))+'foglio deposito'!$D$30/2*(ABS(B95)^2-ABS('foglio deposito'!$F$29)^2)))</f>
        <v>-8.750400652777777E-5</v>
      </c>
      <c r="F95" s="98">
        <f>D95/('foglio deposito'!$F$22*'foglio deposito'!$L$34)</f>
        <v>0.69952380952380955</v>
      </c>
      <c r="G95" s="98">
        <f t="shared" si="5"/>
        <v>0.40755987574124186</v>
      </c>
      <c r="H95" s="101">
        <f t="shared" si="6"/>
        <v>-1.8454509870660316E-3</v>
      </c>
      <c r="I95" s="30">
        <f t="shared" si="7"/>
        <v>-7.8930762601887166</v>
      </c>
      <c r="J95" s="90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2:20" x14ac:dyDescent="0.3">
      <c r="B96" s="96">
        <f>'foglio deposito'!$L$34/'foglio deposito'!$B$141*'foglio deposito'!B131</f>
        <v>-3.1500000000000005E-3</v>
      </c>
      <c r="C96" s="30">
        <f>IF(B96&gt;'foglio deposito'!$L$33,2*'foglio deposito'!$F$22/'foglio deposito'!$L$33*(B96-B96^2/(2*'foglio deposito'!$L$33)),'foglio deposito'!$F$22)</f>
        <v>-19.366666666666664</v>
      </c>
      <c r="D96" s="97">
        <f>IF(B96&gt;'foglio deposito'!$F$29,2*'foglio deposito'!$D$30/(-'foglio deposito'!$F$29)*(B96^2/2-(-B96)^3/(-6*'foglio deposito'!$F$29)),2*'foglio deposito'!$D$30/(-'foglio deposito'!$F$29)*('foglio deposito'!$F$29^2/2-(-'foglio deposito'!$F$29)^3/(-6*'foglio deposito'!$F$29))+'foglio deposito'!$D$30*(ABS(B96)-ABS('foglio deposito'!$F$29)))</f>
        <v>4.8093888888888887E-2</v>
      </c>
      <c r="E96" s="97">
        <f>IF(ABS(B96)&lt;ABS('foglio deposito'!$F$29),-2*'foglio deposito'!$D$30/(-'foglio deposito'!$F$29)*(-B96^3/3-(B96)^4/(-8*'foglio deposito'!$F$29)),-(2*'foglio deposito'!$D$30/(-'foglio deposito'!$F$29)*(ABS('foglio deposito'!$F$29)^3/3-ABS('foglio deposito'!$F$29)^4/(-8*'foglio deposito'!$F$29))+'foglio deposito'!$D$30/2*(ABS(B96)^2-ABS('foglio deposito'!$F$29)^2)))</f>
        <v>-8.9627319444444476E-5</v>
      </c>
      <c r="F96" s="98">
        <f>D96/('foglio deposito'!$F$22*'foglio deposito'!$L$34)</f>
        <v>0.70952380952380967</v>
      </c>
      <c r="G96" s="98">
        <f t="shared" si="5"/>
        <v>0.40838393522957261</v>
      </c>
      <c r="H96" s="101">
        <f t="shared" si="6"/>
        <v>-1.8635906040268464E-3</v>
      </c>
      <c r="I96" s="30">
        <f t="shared" si="7"/>
        <v>-7.9090355456127215</v>
      </c>
      <c r="J96" s="90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2:20" x14ac:dyDescent="0.3">
      <c r="B97" s="96">
        <f>'foglio deposito'!$L$34/'foglio deposito'!$B$141*'foglio deposito'!B132</f>
        <v>-3.1850000000000003E-3</v>
      </c>
      <c r="C97" s="30">
        <f>IF(B97&gt;'foglio deposito'!$L$33,2*'foglio deposito'!$F$22/'foglio deposito'!$L$33*(B97-B97^2/(2*'foglio deposito'!$L$33)),'foglio deposito'!$F$22)</f>
        <v>-19.366666666666664</v>
      </c>
      <c r="D97" s="97">
        <f>IF(B97&gt;'foglio deposito'!$F$29,2*'foglio deposito'!$D$30/(-'foglio deposito'!$F$29)*(B97^2/2-(-B97)^3/(-6*'foglio deposito'!$F$29)),2*'foglio deposito'!$D$30/(-'foglio deposito'!$F$29)*('foglio deposito'!$F$29^2/2-(-'foglio deposito'!$F$29)^3/(-6*'foglio deposito'!$F$29))+'foglio deposito'!$D$30*(ABS(B97)-ABS('foglio deposito'!$F$29)))</f>
        <v>4.8771722222222216E-2</v>
      </c>
      <c r="E97" s="97">
        <f>IF(ABS(B97)&lt;ABS('foglio deposito'!$F$29),-2*'foglio deposito'!$D$30/(-'foglio deposito'!$F$29)*(-B97^3/3-(B97)^4/(-8*'foglio deposito'!$F$29)),-(2*'foglio deposito'!$D$30/(-'foglio deposito'!$F$29)*(ABS('foglio deposito'!$F$29)^3/3-ABS('foglio deposito'!$F$29)^4/(-8*'foglio deposito'!$F$29))+'foglio deposito'!$D$30/2*(ABS(B97)^2-ABS('foglio deposito'!$F$29)^2)))</f>
        <v>-9.1774356527777793E-5</v>
      </c>
      <c r="F97" s="98">
        <f>D97/('foglio deposito'!$F$22*'foglio deposito'!$L$34)</f>
        <v>0.71952380952380957</v>
      </c>
      <c r="G97" s="98">
        <f t="shared" si="5"/>
        <v>0.40919546559141895</v>
      </c>
      <c r="H97" s="101">
        <f t="shared" si="6"/>
        <v>-1.8817124420913308E-3</v>
      </c>
      <c r="I97" s="30">
        <f t="shared" si="7"/>
        <v>-7.9247521836204795</v>
      </c>
      <c r="J97" s="90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2:20" x14ac:dyDescent="0.3">
      <c r="B98" s="96">
        <f>'foglio deposito'!$L$34/'foglio deposito'!$B$141*'foglio deposito'!B133</f>
        <v>-3.2200000000000002E-3</v>
      </c>
      <c r="C98" s="30">
        <f>IF(B98&gt;'foglio deposito'!$L$33,2*'foglio deposito'!$F$22/'foglio deposito'!$L$33*(B98-B98^2/(2*'foglio deposito'!$L$33)),'foglio deposito'!$F$22)</f>
        <v>-19.366666666666664</v>
      </c>
      <c r="D98" s="97">
        <f>IF(B98&gt;'foglio deposito'!$F$29,2*'foglio deposito'!$D$30/(-'foglio deposito'!$F$29)*(B98^2/2-(-B98)^3/(-6*'foglio deposito'!$F$29)),2*'foglio deposito'!$D$30/(-'foglio deposito'!$F$29)*('foglio deposito'!$F$29^2/2-(-'foglio deposito'!$F$29)^3/(-6*'foglio deposito'!$F$29))+'foglio deposito'!$D$30*(ABS(B98)-ABS('foglio deposito'!$F$29)))</f>
        <v>4.9449555555555552E-2</v>
      </c>
      <c r="E98" s="97">
        <f>IF(ABS(B98)&lt;ABS('foglio deposito'!$F$29),-2*'foglio deposito'!$D$30/(-'foglio deposito'!$F$29)*(-B98^3/3-(B98)^4/(-8*'foglio deposito'!$F$29)),-(2*'foglio deposito'!$D$30/(-'foglio deposito'!$F$29)*(ABS('foglio deposito'!$F$29)^3/3-ABS('foglio deposito'!$F$29)^4/(-8*'foglio deposito'!$F$29))+'foglio deposito'!$D$30/2*(ABS(B98)^2-ABS('foglio deposito'!$F$29)^2)))</f>
        <v>-9.3945117777777774E-5</v>
      </c>
      <c r="F98" s="98">
        <f>D98/('foglio deposito'!$F$22*'foglio deposito'!$L$34)</f>
        <v>0.72952380952380957</v>
      </c>
      <c r="G98" s="98">
        <f t="shared" si="5"/>
        <v>0.4099946483304413</v>
      </c>
      <c r="H98" s="101">
        <f t="shared" si="6"/>
        <v>-1.8998172323759792E-3</v>
      </c>
      <c r="I98" s="30">
        <f t="shared" si="7"/>
        <v>-7.9402296893328783</v>
      </c>
      <c r="J98" s="90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2:20" x14ac:dyDescent="0.3">
      <c r="B99" s="96">
        <f>'foglio deposito'!$L$34/'foglio deposito'!$B$141*'foglio deposito'!B134</f>
        <v>-3.2550000000000005E-3</v>
      </c>
      <c r="C99" s="30">
        <f>IF(B99&gt;'foglio deposito'!$L$33,2*'foglio deposito'!$F$22/'foglio deposito'!$L$33*(B99-B99^2/(2*'foglio deposito'!$L$33)),'foglio deposito'!$F$22)</f>
        <v>-19.366666666666664</v>
      </c>
      <c r="D99" s="97">
        <f>IF(B99&gt;'foglio deposito'!$F$29,2*'foglio deposito'!$D$30/(-'foglio deposito'!$F$29)*(B99^2/2-(-B99)^3/(-6*'foglio deposito'!$F$29)),2*'foglio deposito'!$D$30/(-'foglio deposito'!$F$29)*('foglio deposito'!$F$29^2/2-(-'foglio deposito'!$F$29)^3/(-6*'foglio deposito'!$F$29))+'foglio deposito'!$D$30*(ABS(B99)-ABS('foglio deposito'!$F$29)))</f>
        <v>5.0127388888888888E-2</v>
      </c>
      <c r="E99" s="97">
        <f>IF(ABS(B99)&lt;ABS('foglio deposito'!$F$29),-2*'foglio deposito'!$D$30/(-'foglio deposito'!$F$29)*(-B99^3/3-(B99)^4/(-8*'foglio deposito'!$F$29)),-(2*'foglio deposito'!$D$30/(-'foglio deposito'!$F$29)*(ABS('foglio deposito'!$F$29)^3/3-ABS('foglio deposito'!$F$29)^4/(-8*'foglio deposito'!$F$29))+'foglio deposito'!$D$30/2*(ABS(B99)^2-ABS('foglio deposito'!$F$29)^2)))</f>
        <v>-9.6139603194444475E-5</v>
      </c>
      <c r="F99" s="98">
        <f>D99/('foglio deposito'!$F$22*'foglio deposito'!$L$34)</f>
        <v>0.73952380952380969</v>
      </c>
      <c r="G99" s="98">
        <f t="shared" si="5"/>
        <v>0.4107816692927716</v>
      </c>
      <c r="H99" s="101">
        <f t="shared" si="6"/>
        <v>-1.9179056664520289E-3</v>
      </c>
      <c r="I99" s="30">
        <f t="shared" si="7"/>
        <v>-7.9554716619700088</v>
      </c>
      <c r="J99" s="90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2:20" x14ac:dyDescent="0.3">
      <c r="B100" s="96">
        <f>'foglio deposito'!$L$34/'foglio deposito'!$B$141*'foglio deposito'!B135</f>
        <v>-3.2900000000000004E-3</v>
      </c>
      <c r="C100" s="30">
        <f>IF(B100&gt;'foglio deposito'!$L$33,2*'foglio deposito'!$F$22/'foglio deposito'!$L$33*(B100-B100^2/(2*'foglio deposito'!$L$33)),'foglio deposito'!$F$22)</f>
        <v>-19.366666666666664</v>
      </c>
      <c r="D100" s="97">
        <f>IF(B100&gt;'foglio deposito'!$F$29,2*'foglio deposito'!$D$30/(-'foglio deposito'!$F$29)*(B100^2/2-(-B100)^3/(-6*'foglio deposito'!$F$29)),2*'foglio deposito'!$D$30/(-'foglio deposito'!$F$29)*('foglio deposito'!$F$29^2/2-(-'foglio deposito'!$F$29)^3/(-6*'foglio deposito'!$F$29))+'foglio deposito'!$D$30*(ABS(B100)-ABS('foglio deposito'!$F$29)))</f>
        <v>5.0805222222222217E-2</v>
      </c>
      <c r="E100" s="97">
        <f>IF(ABS(B100)&lt;ABS('foglio deposito'!$F$29),-2*'foglio deposito'!$D$30/(-'foglio deposito'!$F$29)*(-B100^3/3-(B100)^4/(-8*'foglio deposito'!$F$29)),-(2*'foglio deposito'!$D$30/(-'foglio deposito'!$F$29)*(ABS('foglio deposito'!$F$29)^3/3-ABS('foglio deposito'!$F$29)^4/(-8*'foglio deposito'!$F$29))+'foglio deposito'!$D$30/2*(ABS(B100)^2-ABS('foglio deposito'!$F$29)^2)))</f>
        <v>-9.8357812777777787E-5</v>
      </c>
      <c r="F100" s="98">
        <f>D100/('foglio deposito'!$F$22*'foglio deposito'!$L$34)</f>
        <v>0.74952380952380959</v>
      </c>
      <c r="G100" s="98">
        <f t="shared" si="5"/>
        <v>0.4115567176342001</v>
      </c>
      <c r="H100" s="101">
        <f t="shared" si="6"/>
        <v>-1.935978398983482E-3</v>
      </c>
      <c r="I100" s="30">
        <f t="shared" si="7"/>
        <v>-7.9704817648490076</v>
      </c>
      <c r="J100" s="90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2:20" x14ac:dyDescent="0.3">
      <c r="B101" s="96">
        <f>'foglio deposito'!$L$34/'foglio deposito'!$B$141*'foglio deposito'!B136</f>
        <v>-3.3250000000000003E-3</v>
      </c>
      <c r="C101" s="30">
        <f>IF(B101&gt;'foglio deposito'!$L$33,2*'foglio deposito'!$F$22/'foglio deposito'!$L$33*(B101-B101^2/(2*'foglio deposito'!$L$33)),'foglio deposito'!$F$22)</f>
        <v>-19.366666666666664</v>
      </c>
      <c r="D101" s="97">
        <f>IF(B101&gt;'foglio deposito'!$F$29,2*'foglio deposito'!$D$30/(-'foglio deposito'!$F$29)*(B101^2/2-(-B101)^3/(-6*'foglio deposito'!$F$29)),2*'foglio deposito'!$D$30/(-'foglio deposito'!$F$29)*('foglio deposito'!$F$29^2/2-(-'foglio deposito'!$F$29)^3/(-6*'foglio deposito'!$F$29))+'foglio deposito'!$D$30*(ABS(B101)-ABS('foglio deposito'!$F$29)))</f>
        <v>5.1483055555555546E-2</v>
      </c>
      <c r="E101" s="97">
        <f>IF(ABS(B101)&lt;ABS('foglio deposito'!$F$29),-2*'foglio deposito'!$D$30/(-'foglio deposito'!$F$29)*(-B101^3/3-(B101)^4/(-8*'foglio deposito'!$F$29)),-(2*'foglio deposito'!$D$30/(-'foglio deposito'!$F$29)*(ABS('foglio deposito'!$F$29)^3/3-ABS('foglio deposito'!$F$29)^4/(-8*'foglio deposito'!$F$29))+'foglio deposito'!$D$30/2*(ABS(B101)^2-ABS('foglio deposito'!$F$29)^2)))</f>
        <v>-1.0059974652777779E-4</v>
      </c>
      <c r="F101" s="98">
        <f>D101/('foglio deposito'!$F$22*'foglio deposito'!$L$34)</f>
        <v>0.75952380952380949</v>
      </c>
      <c r="G101" s="98">
        <f t="shared" si="5"/>
        <v>0.41231998491526611</v>
      </c>
      <c r="H101" s="101">
        <f t="shared" si="6"/>
        <v>-1.9540360501567404E-3</v>
      </c>
      <c r="I101" s="30">
        <f t="shared" si="7"/>
        <v>-7.9852637078589854</v>
      </c>
      <c r="J101" s="90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2:20" x14ac:dyDescent="0.3">
      <c r="B102" s="96">
        <f>'foglio deposito'!$L$34/'foglio deposito'!$B$141*'foglio deposito'!B137</f>
        <v>-3.3600000000000001E-3</v>
      </c>
      <c r="C102" s="30">
        <f>IF(B102&gt;'foglio deposito'!$L$33,2*'foglio deposito'!$F$22/'foglio deposito'!$L$33*(B102-B102^2/(2*'foglio deposito'!$L$33)),'foglio deposito'!$F$22)</f>
        <v>-19.366666666666664</v>
      </c>
      <c r="D102" s="97">
        <f>IF(B102&gt;'foglio deposito'!$F$29,2*'foglio deposito'!$D$30/(-'foglio deposito'!$F$29)*(B102^2/2-(-B102)^3/(-6*'foglio deposito'!$F$29)),2*'foglio deposito'!$D$30/(-'foglio deposito'!$F$29)*('foglio deposito'!$F$29^2/2-(-'foglio deposito'!$F$29)^3/(-6*'foglio deposito'!$F$29))+'foglio deposito'!$D$30*(ABS(B102)-ABS('foglio deposito'!$F$29)))</f>
        <v>5.2160888888888882E-2</v>
      </c>
      <c r="E102" s="97">
        <f>IF(ABS(B102)&lt;ABS('foglio deposito'!$F$29),-2*'foglio deposito'!$D$30/(-'foglio deposito'!$F$29)*(-B102^3/3-(B102)^4/(-8*'foglio deposito'!$F$29)),-(2*'foglio deposito'!$D$30/(-'foglio deposito'!$F$29)*(ABS('foglio deposito'!$F$29)^3/3-ABS('foglio deposito'!$F$29)^4/(-8*'foglio deposito'!$F$29))+'foglio deposito'!$D$30/2*(ABS(B102)^2-ABS('foglio deposito'!$F$29)^2)))</f>
        <v>-1.0286540444444446E-4</v>
      </c>
      <c r="F102" s="98">
        <f>D102/('foglio deposito'!$F$22*'foglio deposito'!$L$34)</f>
        <v>0.76952380952380961</v>
      </c>
      <c r="G102" s="98">
        <f t="shared" si="5"/>
        <v>0.41307166430928788</v>
      </c>
      <c r="H102" s="101">
        <f t="shared" si="6"/>
        <v>-1.9720792079207928E-3</v>
      </c>
      <c r="I102" s="30">
        <f t="shared" si="7"/>
        <v>-7.9998212321232076</v>
      </c>
      <c r="J102" s="90"/>
      <c r="K102" s="19"/>
      <c r="L102" s="19"/>
      <c r="M102" s="49"/>
      <c r="N102" s="19"/>
      <c r="O102" s="19"/>
      <c r="P102" s="19"/>
      <c r="Q102" s="19"/>
      <c r="R102" s="19"/>
      <c r="S102" s="19"/>
      <c r="T102" s="19"/>
    </row>
    <row r="103" spans="2:20" x14ac:dyDescent="0.3">
      <c r="B103" s="96">
        <f>'foglio deposito'!$L$34/'foglio deposito'!$B$141*'foglio deposito'!B138</f>
        <v>-3.3950000000000004E-3</v>
      </c>
      <c r="C103" s="30">
        <f>IF(B103&gt;'foglio deposito'!$L$33,2*'foglio deposito'!$F$22/'foglio deposito'!$L$33*(B103-B103^2/(2*'foglio deposito'!$L$33)),'foglio deposito'!$F$22)</f>
        <v>-19.366666666666664</v>
      </c>
      <c r="D103" s="97">
        <f>IF(B103&gt;'foglio deposito'!$F$29,2*'foglio deposito'!$D$30/(-'foglio deposito'!$F$29)*(B103^2/2-(-B103)^3/(-6*'foglio deposito'!$F$29)),2*'foglio deposito'!$D$30/(-'foglio deposito'!$F$29)*('foglio deposito'!$F$29^2/2-(-'foglio deposito'!$F$29)^3/(-6*'foglio deposito'!$F$29))+'foglio deposito'!$D$30*(ABS(B103)-ABS('foglio deposito'!$F$29)))</f>
        <v>5.2838722222222217E-2</v>
      </c>
      <c r="E103" s="97">
        <f>IF(ABS(B103)&lt;ABS('foglio deposito'!$F$29),-2*'foglio deposito'!$D$30/(-'foglio deposito'!$F$29)*(-B103^3/3-(B103)^4/(-8*'foglio deposito'!$F$29)),-(2*'foglio deposito'!$D$30/(-'foglio deposito'!$F$29)*(ABS('foglio deposito'!$F$29)^3/3-ABS('foglio deposito'!$F$29)^4/(-8*'foglio deposito'!$F$29))+'foglio deposito'!$D$30/2*(ABS(B103)^2-ABS('foglio deposito'!$F$29)^2)))</f>
        <v>-1.0515478652777779E-4</v>
      </c>
      <c r="F103" s="98">
        <f>D103/('foglio deposito'!$F$22*'foglio deposito'!$L$34)</f>
        <v>0.77952380952380962</v>
      </c>
      <c r="G103" s="98">
        <f t="shared" si="5"/>
        <v>0.41381194991016823</v>
      </c>
      <c r="H103" s="101">
        <f t="shared" si="6"/>
        <v>-1.990108430054979E-3</v>
      </c>
      <c r="I103" s="30">
        <f t="shared" si="7"/>
        <v>-8.0141580965935901</v>
      </c>
      <c r="J103" s="90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2:20" x14ac:dyDescent="0.3">
      <c r="B104" s="96">
        <f>'foglio deposito'!$L$34/'foglio deposito'!$B$141*'foglio deposito'!B139</f>
        <v>-3.4300000000000003E-3</v>
      </c>
      <c r="C104" s="30">
        <f>IF(B104&gt;'foglio deposito'!$L$33,2*'foglio deposito'!$F$22/'foglio deposito'!$L$33*(B104-B104^2/(2*'foglio deposito'!$L$33)),'foglio deposito'!$F$22)</f>
        <v>-19.366666666666664</v>
      </c>
      <c r="D104" s="97">
        <f>IF(B104&gt;'foglio deposito'!$F$29,2*'foglio deposito'!$D$30/(-'foglio deposito'!$F$29)*(B104^2/2-(-B104)^3/(-6*'foglio deposito'!$F$29)),2*'foglio deposito'!$D$30/(-'foglio deposito'!$F$29)*('foglio deposito'!$F$29^2/2-(-'foglio deposito'!$F$29)^3/(-6*'foglio deposito'!$F$29))+'foglio deposito'!$D$30*(ABS(B104)-ABS('foglio deposito'!$F$29)))</f>
        <v>5.3516555555555553E-2</v>
      </c>
      <c r="E104" s="97">
        <f>IF(ABS(B104)&lt;ABS('foglio deposito'!$F$29),-2*'foglio deposito'!$D$30/(-'foglio deposito'!$F$29)*(-B104^3/3-(B104)^4/(-8*'foglio deposito'!$F$29)),-(2*'foglio deposito'!$D$30/(-'foglio deposito'!$F$29)*(ABS('foglio deposito'!$F$29)^3/3-ABS('foglio deposito'!$F$29)^4/(-8*'foglio deposito'!$F$29))+'foglio deposito'!$D$30/2*(ABS(B104)^2-ABS('foglio deposito'!$F$29)^2)))</f>
        <v>-1.0746789277777776E-4</v>
      </c>
      <c r="F104" s="98">
        <f>D104/('foglio deposito'!$F$22*'foglio deposito'!$L$34)</f>
        <v>0.78952380952380963</v>
      </c>
      <c r="G104" s="98">
        <f t="shared" si="5"/>
        <v>0.41454103612839255</v>
      </c>
      <c r="H104" s="101">
        <f t="shared" si="6"/>
        <v>-2.0081242460796137E-3</v>
      </c>
      <c r="I104" s="30">
        <f t="shared" si="7"/>
        <v>-8.0282780663532005</v>
      </c>
      <c r="J104" s="90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2:20" x14ac:dyDescent="0.3">
      <c r="B105" s="96">
        <f>'foglio deposito'!$L$34/'foglio deposito'!$B$141*'foglio deposito'!B140</f>
        <v>-3.4650000000000002E-3</v>
      </c>
      <c r="C105" s="30">
        <f>IF(B105&gt;'foglio deposito'!$L$33,2*'foglio deposito'!$F$22/'foglio deposito'!$L$33*(B105-B105^2/(2*'foglio deposito'!$L$33)),'foglio deposito'!$F$22)</f>
        <v>-19.366666666666664</v>
      </c>
      <c r="D105" s="97">
        <f>IF(B105&gt;'foglio deposito'!$F$29,2*'foglio deposito'!$D$30/(-'foglio deposito'!$F$29)*(B105^2/2-(-B105)^3/(-6*'foglio deposito'!$F$29)),2*'foglio deposito'!$D$30/(-'foglio deposito'!$F$29)*('foglio deposito'!$F$29^2/2-(-'foglio deposito'!$F$29)^3/(-6*'foglio deposito'!$F$29))+'foglio deposito'!$D$30*(ABS(B105)-ABS('foglio deposito'!$F$29)))</f>
        <v>5.4194388888888875E-2</v>
      </c>
      <c r="E105" s="97">
        <f>IF(ABS(B105)&lt;ABS('foglio deposito'!$F$29),-2*'foglio deposito'!$D$30/(-'foglio deposito'!$F$29)*(-B105^3/3-(B105)^4/(-8*'foglio deposito'!$F$29)),-(2*'foglio deposito'!$D$30/(-'foglio deposito'!$F$29)*(ABS('foglio deposito'!$F$29)^3/3-ABS('foglio deposito'!$F$29)^4/(-8*'foglio deposito'!$F$29))+'foglio deposito'!$D$30/2*(ABS(B105)^2-ABS('foglio deposito'!$F$29)^2)))</f>
        <v>-1.0980472319444446E-4</v>
      </c>
      <c r="F105" s="98">
        <f>D105/('foglio deposito'!$F$22*'foglio deposito'!$L$34)</f>
        <v>0.79952380952380953</v>
      </c>
      <c r="G105" s="98">
        <f t="shared" si="5"/>
        <v>0.41525911716501329</v>
      </c>
      <c r="H105" s="101">
        <f t="shared" si="6"/>
        <v>-2.026127159023229E-3</v>
      </c>
      <c r="I105" s="30">
        <f t="shared" si="7"/>
        <v>-8.0421849024290903</v>
      </c>
      <c r="J105" s="90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2:20" x14ac:dyDescent="0.3">
      <c r="B106" s="96">
        <f>'foglio deposito'!$L$34/'foglio deposito'!$B$141*'foglio deposito'!B141</f>
        <v>-3.5000000000000005E-3</v>
      </c>
      <c r="C106" s="30">
        <f>IF(B106&gt;'foglio deposito'!$L$33,2*'foglio deposito'!$F$22/'foglio deposito'!$L$33*(B106-B106^2/(2*'foglio deposito'!$L$33)),'foglio deposito'!$F$22)</f>
        <v>-19.366666666666664</v>
      </c>
      <c r="D106" s="97">
        <f>IF(B106&gt;'foglio deposito'!$F$29,2*'foglio deposito'!$D$30/(-'foglio deposito'!$F$29)*(B106^2/2-(-B106)^3/(-6*'foglio deposito'!$F$29)),2*'foglio deposito'!$D$30/(-'foglio deposito'!$F$29)*('foglio deposito'!$F$29^2/2-(-'foglio deposito'!$F$29)^3/(-6*'foglio deposito'!$F$29))+'foglio deposito'!$D$30*(ABS(B106)-ABS('foglio deposito'!$F$29)))</f>
        <v>5.4872222222222218E-2</v>
      </c>
      <c r="E106" s="97">
        <f>IF(ABS(B106)&lt;ABS('foglio deposito'!$F$29),-2*'foglio deposito'!$D$30/(-'foglio deposito'!$F$29)*(-B106^3/3-(B106)^4/(-8*'foglio deposito'!$F$29)),-(2*'foglio deposito'!$D$30/(-'foglio deposito'!$F$29)*(ABS('foglio deposito'!$F$29)^3/3-ABS('foglio deposito'!$F$29)^4/(-8*'foglio deposito'!$F$29))+'foglio deposito'!$D$30/2*(ABS(B106)^2-ABS('foglio deposito'!$F$29)^2)))</f>
        <v>-1.1216527777777781E-4</v>
      </c>
      <c r="F106" s="98">
        <f>D106/('foglio deposito'!$F$22*'foglio deposito'!$L$34)</f>
        <v>0.80952380952380965</v>
      </c>
      <c r="G106" s="98">
        <f t="shared" si="5"/>
        <v>0.4159663865546217</v>
      </c>
      <c r="H106" s="101">
        <f t="shared" si="6"/>
        <v>-2.0441176470588243E-3</v>
      </c>
      <c r="I106" s="30">
        <f t="shared" si="7"/>
        <v>-8.0558823529411718</v>
      </c>
      <c r="J106" s="90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2:20" x14ac:dyDescent="0.3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</sheetData>
  <sheetProtection algorithmName="SHA-512" hashValue="We2n0Degu70B9N4/xfOPrZXscitu29bWzssjeXkvFfcWHUBeJmGsmYOSQ7Tn0b3uhQNKxpQzMOV8iqIK+h+vxg==" saltValue="N3n1H8RPFdCi7+ubZ4Eg+g==" spinCount="100000" sheet="1" selectLockedCells="1" selectUnlockedCells="1"/>
  <customSheetViews>
    <customSheetView guid="{D7B93BBD-52EA-4172-A62E-DCFF75B40052}" showGridLines="0" showRowCol="0" topLeftCell="D1">
      <selection activeCell="O41" sqref="O41"/>
      <pageMargins left="0.7" right="0.7" top="0.75" bottom="0.75" header="0.3" footer="0.3"/>
      <pageSetup paperSize="9" orientation="portrait" r:id="rId1"/>
    </customSheetView>
  </customSheetViews>
  <mergeCells count="4">
    <mergeCell ref="H2:K2"/>
    <mergeCell ref="C4:H4"/>
    <mergeCell ref="B2:G2"/>
    <mergeCell ref="K39:N39"/>
  </mergeCells>
  <dataValidations count="1">
    <dataValidation type="list" allowBlank="1" showInputMessage="1" showErrorMessage="1" sqref="O39">
      <formula1>sn</formula1>
    </dataValidation>
  </dataValidation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17"/>
  <sheetViews>
    <sheetView showGridLines="0" showRowColHeaders="0" zoomScale="90" zoomScaleNormal="90" workbookViewId="0">
      <selection activeCell="O28" sqref="O28"/>
    </sheetView>
  </sheetViews>
  <sheetFormatPr defaultRowHeight="14.4" x14ac:dyDescent="0.3"/>
  <cols>
    <col min="1" max="1" width="2.44140625" customWidth="1"/>
    <col min="15" max="15" width="11.88671875" customWidth="1"/>
    <col min="17" max="17" width="17.33203125" customWidth="1"/>
  </cols>
  <sheetData>
    <row r="2" spans="3:17" ht="15.6" x14ac:dyDescent="0.3">
      <c r="C2" s="105" t="s">
        <v>89</v>
      </c>
      <c r="E2" s="20"/>
      <c r="F2" s="20"/>
      <c r="G2" s="20"/>
      <c r="H2" s="20"/>
      <c r="I2" s="20"/>
    </row>
    <row r="6" spans="3:17" x14ac:dyDescent="0.3">
      <c r="M6" s="19" t="s">
        <v>42</v>
      </c>
      <c r="N6" s="19"/>
      <c r="O6" s="19"/>
      <c r="P6" s="19"/>
      <c r="Q6" s="32" t="str">
        <f>DATI!F20</f>
        <v>Fe B450C</v>
      </c>
    </row>
    <row r="7" spans="3:17" x14ac:dyDescent="0.3">
      <c r="M7" s="19"/>
      <c r="N7" s="19"/>
      <c r="O7" s="19"/>
      <c r="P7" s="19"/>
      <c r="Q7" s="57"/>
    </row>
    <row r="8" spans="3:17" x14ac:dyDescent="0.3">
      <c r="M8" s="19" t="s">
        <v>50</v>
      </c>
      <c r="N8" s="19"/>
      <c r="O8" s="19"/>
      <c r="P8" s="63" t="s">
        <v>55</v>
      </c>
      <c r="Q8" s="34">
        <f>DATI!F22</f>
        <v>540</v>
      </c>
    </row>
    <row r="9" spans="3:17" x14ac:dyDescent="0.3">
      <c r="M9" s="19" t="s">
        <v>49</v>
      </c>
      <c r="N9" s="16"/>
      <c r="O9" s="27"/>
      <c r="P9" s="63" t="s">
        <v>56</v>
      </c>
      <c r="Q9" s="34">
        <f>DATI!F23</f>
        <v>450</v>
      </c>
    </row>
    <row r="10" spans="3:17" x14ac:dyDescent="0.3">
      <c r="M10" s="19" t="s">
        <v>54</v>
      </c>
      <c r="N10" s="19"/>
      <c r="O10" s="19"/>
      <c r="P10" s="63" t="s">
        <v>57</v>
      </c>
      <c r="Q10" s="34">
        <f>DATI!F24</f>
        <v>391.304347826087</v>
      </c>
    </row>
    <row r="11" spans="3:17" x14ac:dyDescent="0.3">
      <c r="M11" s="19" t="s">
        <v>37</v>
      </c>
      <c r="N11" s="19"/>
      <c r="O11" s="19"/>
      <c r="P11" s="63" t="s">
        <v>58</v>
      </c>
      <c r="Q11" s="26">
        <f>DATI!F25</f>
        <v>206000</v>
      </c>
    </row>
    <row r="12" spans="3:17" x14ac:dyDescent="0.3">
      <c r="M12" s="19"/>
      <c r="N12" s="19"/>
      <c r="O12" s="19"/>
      <c r="P12" s="19"/>
      <c r="Q12" s="19"/>
    </row>
    <row r="13" spans="3:17" ht="15.6" x14ac:dyDescent="0.3">
      <c r="M13" s="19" t="s">
        <v>45</v>
      </c>
      <c r="N13" s="19"/>
      <c r="O13" s="19"/>
      <c r="P13" s="8" t="s">
        <v>8</v>
      </c>
      <c r="Q13" s="67">
        <f>DATI!F34</f>
        <v>1.87</v>
      </c>
    </row>
    <row r="14" spans="3:17" ht="15.6" x14ac:dyDescent="0.3">
      <c r="M14" s="19" t="s">
        <v>80</v>
      </c>
      <c r="P14" s="8" t="s">
        <v>81</v>
      </c>
      <c r="Q14" s="67">
        <f>Q15/0.9</f>
        <v>75</v>
      </c>
    </row>
    <row r="15" spans="3:17" ht="15.6" x14ac:dyDescent="0.3">
      <c r="M15" s="19" t="s">
        <v>79</v>
      </c>
      <c r="N15" s="19"/>
      <c r="O15" s="19"/>
      <c r="P15" s="8" t="s">
        <v>12</v>
      </c>
      <c r="Q15" s="67">
        <f>DATI!F35</f>
        <v>67.5</v>
      </c>
    </row>
    <row r="17" spans="13:17" x14ac:dyDescent="0.3">
      <c r="M17" s="19" t="s">
        <v>77</v>
      </c>
      <c r="P17" s="3" t="s">
        <v>78</v>
      </c>
      <c r="Q17" s="95">
        <f>Q8/Q9</f>
        <v>1.2</v>
      </c>
    </row>
  </sheetData>
  <sheetProtection algorithmName="SHA-512" hashValue="gezDSSpIH2RWnbEsGNL+tjTO4SfsIpvilNOBpw7Qsj2Gh7drs61JQIbnUSOG5kOw2ewgQgt0doBze0QHC+qAew==" saltValue="nNiY6aOh1wa2FKH0eyrkEw==" spinCount="100000" sheet="1" selectLockedCells="1" selectUnlockedCells="1"/>
  <customSheetViews>
    <customSheetView guid="{D7B93BBD-52EA-4172-A62E-DCFF75B40052}" scale="90" showGridLines="0" showRowCol="0">
      <selection activeCell="O28" sqref="O28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54"/>
  <sheetViews>
    <sheetView topLeftCell="A17" workbookViewId="0">
      <selection activeCell="D33" sqref="D33:D35"/>
    </sheetView>
  </sheetViews>
  <sheetFormatPr defaultRowHeight="14.4" x14ac:dyDescent="0.3"/>
  <cols>
    <col min="3" max="3" width="39.5546875" customWidth="1"/>
    <col min="4" max="4" width="10.109375" customWidth="1"/>
    <col min="5" max="5" width="11" bestFit="1" customWidth="1"/>
    <col min="6" max="6" width="16.6640625" customWidth="1"/>
    <col min="7" max="7" width="11.5546875" customWidth="1"/>
    <col min="8" max="8" width="15.44140625" customWidth="1"/>
    <col min="9" max="9" width="11.5546875" customWidth="1"/>
    <col min="11" max="11" width="12.33203125" customWidth="1"/>
    <col min="12" max="12" width="13.44140625" customWidth="1"/>
    <col min="13" max="13" width="15.44140625" customWidth="1"/>
    <col min="15" max="15" width="11" customWidth="1"/>
    <col min="16" max="16" width="18.88671875" customWidth="1"/>
    <col min="19" max="19" width="10.5546875" bestFit="1" customWidth="1"/>
    <col min="20" max="20" width="11" bestFit="1" customWidth="1"/>
    <col min="21" max="21" width="12" bestFit="1" customWidth="1"/>
    <col min="22" max="22" width="13.5546875" customWidth="1"/>
    <col min="23" max="23" width="11" bestFit="1" customWidth="1"/>
    <col min="24" max="24" width="11.109375" customWidth="1"/>
  </cols>
  <sheetData>
    <row r="2" spans="4:23" x14ac:dyDescent="0.3">
      <c r="P2" s="86"/>
      <c r="Q2" s="12"/>
      <c r="R2" s="11"/>
      <c r="S2" s="11"/>
      <c r="T2" s="11"/>
      <c r="U2" s="11"/>
      <c r="V2" s="11"/>
      <c r="W2" s="11"/>
    </row>
    <row r="3" spans="4:23" x14ac:dyDescent="0.3">
      <c r="O3" s="11"/>
      <c r="P3" s="87"/>
      <c r="Q3" s="88"/>
      <c r="R3" s="11"/>
      <c r="S3" s="11"/>
      <c r="T3" s="11"/>
      <c r="U3" s="11"/>
      <c r="V3" s="11"/>
      <c r="W3" s="11"/>
    </row>
    <row r="4" spans="4:23" x14ac:dyDescent="0.3">
      <c r="D4" s="17" t="s">
        <v>10</v>
      </c>
      <c r="E4" s="14">
        <f>DATI!F30*10^-3</f>
        <v>-2E-3</v>
      </c>
      <c r="J4" t="s">
        <v>19</v>
      </c>
      <c r="K4" s="3">
        <v>450</v>
      </c>
      <c r="L4">
        <v>540</v>
      </c>
      <c r="O4" s="11"/>
      <c r="P4" s="87"/>
      <c r="Q4" s="88"/>
      <c r="R4" s="12"/>
      <c r="S4" s="89"/>
      <c r="T4" s="11"/>
      <c r="U4" s="11"/>
      <c r="V4" s="11"/>
      <c r="W4" s="11"/>
    </row>
    <row r="5" spans="4:23" ht="15.6" x14ac:dyDescent="0.3">
      <c r="D5" s="18" t="s">
        <v>9</v>
      </c>
      <c r="E5" s="14">
        <f>'foglio deposito'!D11*10^-3</f>
        <v>-3.5000000000000001E-3</v>
      </c>
      <c r="J5" t="s">
        <v>21</v>
      </c>
      <c r="K5" s="3">
        <v>430</v>
      </c>
      <c r="L5">
        <v>540</v>
      </c>
      <c r="O5" s="11"/>
      <c r="P5" s="87"/>
      <c r="Q5" s="88"/>
      <c r="R5" s="12"/>
      <c r="S5" s="89"/>
      <c r="T5" s="11"/>
      <c r="U5" s="11"/>
      <c r="V5" s="11"/>
      <c r="W5" s="11"/>
    </row>
    <row r="6" spans="4:23" ht="15.6" x14ac:dyDescent="0.3">
      <c r="D6" s="18" t="s">
        <v>8</v>
      </c>
      <c r="E6" s="14">
        <f>DATI!F34*10^-3</f>
        <v>1.8700000000000001E-3</v>
      </c>
      <c r="O6" s="11"/>
      <c r="P6" s="87"/>
      <c r="Q6" s="88"/>
      <c r="R6" s="12"/>
      <c r="S6" s="89"/>
      <c r="T6" s="11"/>
      <c r="U6" s="11"/>
      <c r="V6" s="11"/>
      <c r="W6" s="11"/>
    </row>
    <row r="7" spans="4:23" ht="15.6" x14ac:dyDescent="0.3">
      <c r="D7" s="18" t="s">
        <v>12</v>
      </c>
      <c r="E7" s="14">
        <f>DATI!F35*10^-3</f>
        <v>6.7500000000000004E-2</v>
      </c>
      <c r="P7" s="87"/>
      <c r="Q7" s="88"/>
      <c r="R7" s="12"/>
      <c r="S7" s="89"/>
      <c r="T7" s="11"/>
      <c r="U7" s="11"/>
      <c r="V7" s="11"/>
      <c r="W7" s="11"/>
    </row>
    <row r="8" spans="4:23" x14ac:dyDescent="0.3">
      <c r="P8" s="87"/>
      <c r="Q8" s="88"/>
      <c r="R8" s="12"/>
      <c r="S8" s="89"/>
      <c r="T8" s="11"/>
      <c r="U8" s="11"/>
      <c r="V8" s="11"/>
      <c r="W8" s="11"/>
    </row>
    <row r="9" spans="4:23" x14ac:dyDescent="0.3">
      <c r="P9" s="87"/>
      <c r="Q9" s="88"/>
      <c r="R9" s="12"/>
      <c r="S9" s="89"/>
      <c r="T9" s="11"/>
      <c r="U9" s="11"/>
      <c r="V9" s="11"/>
      <c r="W9" s="11"/>
    </row>
    <row r="10" spans="4:23" ht="15" thickBot="1" x14ac:dyDescent="0.35">
      <c r="P10" s="87"/>
      <c r="Q10" s="88"/>
      <c r="R10" s="12"/>
      <c r="S10" s="89"/>
      <c r="T10" s="11"/>
      <c r="U10" s="11"/>
      <c r="V10" s="11"/>
      <c r="W10" s="11"/>
    </row>
    <row r="11" spans="4:23" ht="16.8" thickTop="1" thickBot="1" x14ac:dyDescent="0.35">
      <c r="D11" s="38">
        <f>IF('foglio deposito'!D33="si",#REF!+DATI!F31,DATI!F31)</f>
        <v>-3.5</v>
      </c>
      <c r="P11" s="87"/>
      <c r="Q11" s="88"/>
      <c r="R11" s="12"/>
      <c r="S11" s="89"/>
      <c r="T11" s="11"/>
      <c r="U11" s="11"/>
      <c r="V11" s="11"/>
      <c r="W11" s="11"/>
    </row>
    <row r="12" spans="4:23" ht="16.8" thickTop="1" thickBot="1" x14ac:dyDescent="0.35">
      <c r="J12" s="42" t="s">
        <v>48</v>
      </c>
      <c r="K12" s="41">
        <f>DATI!F23</f>
        <v>450</v>
      </c>
      <c r="L12" s="12" t="s">
        <v>47</v>
      </c>
      <c r="P12" s="87"/>
      <c r="Q12" s="88"/>
      <c r="R12" s="12"/>
      <c r="S12" s="89"/>
      <c r="T12" s="11"/>
      <c r="U12" s="11"/>
      <c r="V12" s="11"/>
      <c r="W12" s="11"/>
    </row>
    <row r="13" spans="4:23" ht="15" thickTop="1" x14ac:dyDescent="0.3">
      <c r="D13">
        <f>DATI!F31</f>
        <v>-3.5</v>
      </c>
      <c r="P13" s="87"/>
      <c r="Q13" s="88"/>
      <c r="R13" s="12"/>
      <c r="S13" s="89"/>
      <c r="T13" s="11"/>
      <c r="U13" s="11"/>
      <c r="V13" s="11"/>
      <c r="W13" s="11"/>
    </row>
    <row r="14" spans="4:23" x14ac:dyDescent="0.3">
      <c r="P14" s="87"/>
      <c r="Q14" s="88"/>
      <c r="R14" s="12"/>
      <c r="S14" s="89"/>
      <c r="T14" s="11"/>
      <c r="U14" s="11"/>
      <c r="V14" s="11"/>
      <c r="W14" s="11"/>
    </row>
    <row r="15" spans="4:23" x14ac:dyDescent="0.3">
      <c r="P15" s="87"/>
      <c r="Q15" s="88"/>
      <c r="R15" s="12"/>
      <c r="S15" s="89"/>
      <c r="T15" s="11"/>
      <c r="U15" s="11"/>
      <c r="V15" s="11"/>
      <c r="W15" s="11"/>
    </row>
    <row r="16" spans="4:23" x14ac:dyDescent="0.3">
      <c r="P16" s="87"/>
      <c r="Q16" s="88"/>
      <c r="R16" s="12"/>
      <c r="S16" s="89"/>
      <c r="T16" s="11"/>
      <c r="U16" s="11"/>
      <c r="V16" s="11"/>
      <c r="W16" s="11"/>
    </row>
    <row r="20" spans="2:18" x14ac:dyDescent="0.3">
      <c r="B20" s="126" t="s">
        <v>53</v>
      </c>
      <c r="C20" s="126"/>
      <c r="D20" s="60"/>
      <c r="E20" s="126" t="s">
        <v>11</v>
      </c>
      <c r="F20" s="126"/>
      <c r="G20" s="21" t="s">
        <v>6</v>
      </c>
      <c r="H20" s="29">
        <f>DATI!F12</f>
        <v>19.366666666666664</v>
      </c>
    </row>
    <row r="21" spans="2:18" ht="15.6" x14ac:dyDescent="0.3">
      <c r="B21" s="69"/>
      <c r="C21" s="69"/>
      <c r="D21" s="60"/>
      <c r="E21" s="69"/>
      <c r="F21" s="69"/>
      <c r="G21" s="21" t="s">
        <v>5</v>
      </c>
      <c r="H21" s="30">
        <f>DATI!F24</f>
        <v>391.304347826087</v>
      </c>
      <c r="I21" s="62">
        <f>-I25</f>
        <v>-67.5</v>
      </c>
      <c r="J21" s="59">
        <f>-J25</f>
        <v>-391.304347826087</v>
      </c>
      <c r="L21" s="62">
        <f>I21</f>
        <v>-67.5</v>
      </c>
      <c r="M21" s="59">
        <f>J21*'LEGAME COSTITUTIVO ACCIAIO'!Q17</f>
        <v>-469.56521739130437</v>
      </c>
      <c r="P21" s="51" t="s">
        <v>5</v>
      </c>
      <c r="Q21" s="54">
        <f>DATI!F24</f>
        <v>391.304347826087</v>
      </c>
      <c r="R21" s="51" t="s">
        <v>52</v>
      </c>
    </row>
    <row r="22" spans="2:18" ht="15.6" x14ac:dyDescent="0.3">
      <c r="B22" s="75" t="s">
        <v>10</v>
      </c>
      <c r="C22" s="76">
        <f>IF('foglio deposito'!D33="si",#REF!,DATI!F30)</f>
        <v>-2</v>
      </c>
      <c r="D22" s="5"/>
      <c r="E22" s="70" t="s">
        <v>6</v>
      </c>
      <c r="F22" s="71">
        <f>IF('LEGAME COSTITUTIVO CALCESTRUZZO'!O39="si",'LEGAME COSTITUTIVO CALCESTRUZZO'!O34*IF('foglio deposito'!D33="si",-#REF!/1.5,-'foglio deposito'!H20),IF('foglio deposito'!D33="si",-#REF!/1.5,-'foglio deposito'!H20))</f>
        <v>-19.366666666666664</v>
      </c>
      <c r="G22" s="22" t="s">
        <v>4</v>
      </c>
      <c r="H22" s="31">
        <f>DATI!F25</f>
        <v>206000</v>
      </c>
      <c r="I22" s="62">
        <f>-'LEGAME COSTITUTIVO ACCIAIO'!Q13</f>
        <v>-1.87</v>
      </c>
      <c r="J22" s="59">
        <f>-J25</f>
        <v>-391.304347826087</v>
      </c>
      <c r="L22" s="62">
        <f t="shared" ref="L22:L25" si="0">I22</f>
        <v>-1.87</v>
      </c>
      <c r="M22" s="59">
        <f t="shared" ref="M22:M24" si="1">J22</f>
        <v>-391.304347826087</v>
      </c>
      <c r="P22" s="53"/>
      <c r="Q22" s="52"/>
      <c r="R22" s="53"/>
    </row>
    <row r="23" spans="2:18" ht="15.6" x14ac:dyDescent="0.3">
      <c r="B23" s="77" t="s">
        <v>9</v>
      </c>
      <c r="C23" s="76">
        <f>'foglio deposito'!D11</f>
        <v>-3.5</v>
      </c>
      <c r="D23" s="7"/>
      <c r="E23" s="72" t="s">
        <v>3</v>
      </c>
      <c r="F23" s="73">
        <f>'foglio deposito'!H23</f>
        <v>0.85</v>
      </c>
      <c r="G23" s="9" t="s">
        <v>3</v>
      </c>
      <c r="H23" s="32">
        <f>DATI!F7</f>
        <v>0.85</v>
      </c>
      <c r="I23" s="58">
        <v>0</v>
      </c>
      <c r="J23" s="59">
        <v>0</v>
      </c>
      <c r="L23" s="62">
        <f t="shared" si="0"/>
        <v>0</v>
      </c>
      <c r="M23" s="59">
        <f t="shared" si="1"/>
        <v>0</v>
      </c>
      <c r="P23" s="51" t="s">
        <v>4</v>
      </c>
      <c r="Q23" s="55">
        <f>DATI!F25</f>
        <v>206000</v>
      </c>
      <c r="R23" s="51" t="s">
        <v>52</v>
      </c>
    </row>
    <row r="24" spans="2:18" ht="15.6" x14ac:dyDescent="0.3">
      <c r="D24" s="7"/>
      <c r="E24" s="72" t="s">
        <v>13</v>
      </c>
      <c r="F24" s="71">
        <f>'LEGAME COSTITUTIVO CALCESTRUZZO'!O30</f>
        <v>1.3229967992606599</v>
      </c>
      <c r="G24" s="9" t="s">
        <v>13</v>
      </c>
      <c r="H24" s="29">
        <f>DATI!F15</f>
        <v>1.3229967992606599</v>
      </c>
      <c r="I24" s="58">
        <v>1.87</v>
      </c>
      <c r="J24" s="59">
        <f>'LEGAME COSTITUTIVO ACCIAIO'!Q10</f>
        <v>391.304347826087</v>
      </c>
      <c r="L24" s="62">
        <f t="shared" si="0"/>
        <v>1.87</v>
      </c>
      <c r="M24" s="59">
        <f t="shared" si="1"/>
        <v>391.304347826087</v>
      </c>
    </row>
    <row r="25" spans="2:18" ht="15.6" x14ac:dyDescent="0.3">
      <c r="B25" s="8"/>
      <c r="C25" s="3"/>
      <c r="D25" s="7"/>
      <c r="E25" s="72" t="s">
        <v>14</v>
      </c>
      <c r="F25" s="74">
        <f>'LEGAME COSTITUTIVO CALCESTRUZZO'!O32</f>
        <v>32588.107818695287</v>
      </c>
      <c r="G25" s="9" t="s">
        <v>14</v>
      </c>
      <c r="H25" s="33">
        <f>DATI!F17</f>
        <v>32588.107818695287</v>
      </c>
      <c r="I25" s="62">
        <f>'LEGAME COSTITUTIVO ACCIAIO'!Q15</f>
        <v>67.5</v>
      </c>
      <c r="J25" s="59">
        <f>J24</f>
        <v>391.304347826087</v>
      </c>
      <c r="L25" s="62">
        <f t="shared" si="0"/>
        <v>67.5</v>
      </c>
      <c r="M25" s="59">
        <f>J25*'LEGAME COSTITUTIVO ACCIAIO'!Q17</f>
        <v>469.56521739130437</v>
      </c>
      <c r="O25" s="8" t="s">
        <v>15</v>
      </c>
      <c r="P25" s="6">
        <f>R25*10^3</f>
        <v>4.0597533511954234E-2</v>
      </c>
      <c r="Q25" s="7" t="s">
        <v>7</v>
      </c>
      <c r="R25">
        <f>'foglio deposito'!H24/'foglio deposito'!H25</f>
        <v>4.0597533511954237E-5</v>
      </c>
    </row>
    <row r="29" spans="2:18" x14ac:dyDescent="0.3">
      <c r="C29" s="17" t="s">
        <v>10</v>
      </c>
      <c r="D29" s="83">
        <f>'foglio deposito'!C22</f>
        <v>-2</v>
      </c>
      <c r="E29" s="84" t="s">
        <v>7</v>
      </c>
      <c r="F29" s="14">
        <f>D29*10^-3</f>
        <v>-2E-3</v>
      </c>
      <c r="I29" t="s">
        <v>16</v>
      </c>
      <c r="J29" s="19"/>
      <c r="K29" s="23"/>
    </row>
    <row r="30" spans="2:18" x14ac:dyDescent="0.3">
      <c r="C30" s="15" t="s">
        <v>6</v>
      </c>
      <c r="D30" s="15">
        <f>-'foglio deposito'!F22</f>
        <v>19.366666666666664</v>
      </c>
      <c r="E30" s="85"/>
      <c r="F30" s="14"/>
      <c r="I30" t="s">
        <v>17</v>
      </c>
      <c r="J30" s="19"/>
      <c r="K30" s="23"/>
    </row>
    <row r="32" spans="2:18" ht="15" thickBot="1" x14ac:dyDescent="0.35"/>
    <row r="33" spans="2:12" ht="15" thickTop="1" x14ac:dyDescent="0.3">
      <c r="B33" s="114" t="s">
        <v>85</v>
      </c>
      <c r="C33" s="115"/>
      <c r="D33" s="120" t="s">
        <v>17</v>
      </c>
      <c r="I33" s="13">
        <v>0</v>
      </c>
      <c r="J33">
        <v>0</v>
      </c>
      <c r="L33">
        <f>'foglio deposito'!C22*10^-3</f>
        <v>-2E-3</v>
      </c>
    </row>
    <row r="34" spans="2:12" x14ac:dyDescent="0.3">
      <c r="B34" s="116"/>
      <c r="C34" s="117"/>
      <c r="D34" s="121"/>
      <c r="I34" s="13" t="e">
        <f>DATI!#REF!/1000</f>
        <v>#REF!</v>
      </c>
      <c r="J34">
        <f>'foglio deposito'!F24</f>
        <v>1.3229967992606599</v>
      </c>
      <c r="L34">
        <f>'foglio deposito'!C23*10^-3</f>
        <v>-3.5000000000000001E-3</v>
      </c>
    </row>
    <row r="35" spans="2:12" ht="15" thickBot="1" x14ac:dyDescent="0.35">
      <c r="B35" s="118"/>
      <c r="C35" s="119"/>
      <c r="D35" s="122"/>
      <c r="L35">
        <f>'foglio deposito'!F24/'foglio deposito'!F25</f>
        <v>4.0597533511954237E-5</v>
      </c>
    </row>
    <row r="36" spans="2:12" ht="15" thickTop="1" x14ac:dyDescent="0.3"/>
    <row r="40" spans="2:12" x14ac:dyDescent="0.3">
      <c r="B40" s="43" t="s">
        <v>2</v>
      </c>
    </row>
    <row r="41" spans="2:12" x14ac:dyDescent="0.3">
      <c r="B41" s="32">
        <v>0</v>
      </c>
    </row>
    <row r="42" spans="2:12" x14ac:dyDescent="0.3">
      <c r="B42" s="32">
        <f t="shared" ref="B42:B73" si="2">B41+1</f>
        <v>1</v>
      </c>
    </row>
    <row r="43" spans="2:12" x14ac:dyDescent="0.3">
      <c r="B43" s="32">
        <f t="shared" si="2"/>
        <v>2</v>
      </c>
    </row>
    <row r="44" spans="2:12" x14ac:dyDescent="0.3">
      <c r="B44" s="32">
        <f t="shared" si="2"/>
        <v>3</v>
      </c>
    </row>
    <row r="45" spans="2:12" x14ac:dyDescent="0.3">
      <c r="B45" s="32">
        <f t="shared" si="2"/>
        <v>4</v>
      </c>
    </row>
    <row r="46" spans="2:12" x14ac:dyDescent="0.3">
      <c r="B46" s="32">
        <f t="shared" si="2"/>
        <v>5</v>
      </c>
    </row>
    <row r="47" spans="2:12" x14ac:dyDescent="0.3">
      <c r="B47" s="32">
        <f t="shared" si="2"/>
        <v>6</v>
      </c>
    </row>
    <row r="48" spans="2:12" x14ac:dyDescent="0.3">
      <c r="B48" s="32">
        <f t="shared" si="2"/>
        <v>7</v>
      </c>
    </row>
    <row r="49" spans="2:2" x14ac:dyDescent="0.3">
      <c r="B49" s="32">
        <f t="shared" si="2"/>
        <v>8</v>
      </c>
    </row>
    <row r="50" spans="2:2" x14ac:dyDescent="0.3">
      <c r="B50" s="32">
        <f t="shared" si="2"/>
        <v>9</v>
      </c>
    </row>
    <row r="51" spans="2:2" x14ac:dyDescent="0.3">
      <c r="B51" s="32">
        <f t="shared" si="2"/>
        <v>10</v>
      </c>
    </row>
    <row r="52" spans="2:2" x14ac:dyDescent="0.3">
      <c r="B52" s="32">
        <f t="shared" si="2"/>
        <v>11</v>
      </c>
    </row>
    <row r="53" spans="2:2" x14ac:dyDescent="0.3">
      <c r="B53" s="32">
        <f t="shared" si="2"/>
        <v>12</v>
      </c>
    </row>
    <row r="54" spans="2:2" x14ac:dyDescent="0.3">
      <c r="B54" s="32">
        <f t="shared" si="2"/>
        <v>13</v>
      </c>
    </row>
    <row r="55" spans="2:2" x14ac:dyDescent="0.3">
      <c r="B55" s="32">
        <f t="shared" si="2"/>
        <v>14</v>
      </c>
    </row>
    <row r="56" spans="2:2" x14ac:dyDescent="0.3">
      <c r="B56" s="32">
        <f t="shared" si="2"/>
        <v>15</v>
      </c>
    </row>
    <row r="57" spans="2:2" x14ac:dyDescent="0.3">
      <c r="B57" s="32">
        <f t="shared" si="2"/>
        <v>16</v>
      </c>
    </row>
    <row r="58" spans="2:2" x14ac:dyDescent="0.3">
      <c r="B58" s="32">
        <f t="shared" si="2"/>
        <v>17</v>
      </c>
    </row>
    <row r="59" spans="2:2" x14ac:dyDescent="0.3">
      <c r="B59" s="32">
        <f t="shared" si="2"/>
        <v>18</v>
      </c>
    </row>
    <row r="60" spans="2:2" x14ac:dyDescent="0.3">
      <c r="B60" s="32">
        <f t="shared" si="2"/>
        <v>19</v>
      </c>
    </row>
    <row r="61" spans="2:2" x14ac:dyDescent="0.3">
      <c r="B61" s="32">
        <f t="shared" si="2"/>
        <v>20</v>
      </c>
    </row>
    <row r="62" spans="2:2" x14ac:dyDescent="0.3">
      <c r="B62" s="32">
        <f t="shared" si="2"/>
        <v>21</v>
      </c>
    </row>
    <row r="63" spans="2:2" x14ac:dyDescent="0.3">
      <c r="B63" s="32">
        <f t="shared" si="2"/>
        <v>22</v>
      </c>
    </row>
    <row r="64" spans="2:2" x14ac:dyDescent="0.3">
      <c r="B64" s="32">
        <f t="shared" si="2"/>
        <v>23</v>
      </c>
    </row>
    <row r="65" spans="2:2" x14ac:dyDescent="0.3">
      <c r="B65" s="32">
        <f t="shared" si="2"/>
        <v>24</v>
      </c>
    </row>
    <row r="66" spans="2:2" x14ac:dyDescent="0.3">
      <c r="B66" s="32">
        <f t="shared" si="2"/>
        <v>25</v>
      </c>
    </row>
    <row r="67" spans="2:2" x14ac:dyDescent="0.3">
      <c r="B67" s="32">
        <f t="shared" si="2"/>
        <v>26</v>
      </c>
    </row>
    <row r="68" spans="2:2" x14ac:dyDescent="0.3">
      <c r="B68" s="32">
        <f t="shared" si="2"/>
        <v>27</v>
      </c>
    </row>
    <row r="69" spans="2:2" x14ac:dyDescent="0.3">
      <c r="B69" s="32">
        <f t="shared" si="2"/>
        <v>28</v>
      </c>
    </row>
    <row r="70" spans="2:2" x14ac:dyDescent="0.3">
      <c r="B70" s="32">
        <f t="shared" si="2"/>
        <v>29</v>
      </c>
    </row>
    <row r="71" spans="2:2" x14ac:dyDescent="0.3">
      <c r="B71" s="32">
        <f t="shared" si="2"/>
        <v>30</v>
      </c>
    </row>
    <row r="72" spans="2:2" x14ac:dyDescent="0.3">
      <c r="B72" s="32">
        <f t="shared" si="2"/>
        <v>31</v>
      </c>
    </row>
    <row r="73" spans="2:2" x14ac:dyDescent="0.3">
      <c r="B73" s="32">
        <f t="shared" si="2"/>
        <v>32</v>
      </c>
    </row>
    <row r="74" spans="2:2" x14ac:dyDescent="0.3">
      <c r="B74" s="32">
        <f t="shared" ref="B74:B105" si="3">B73+1</f>
        <v>33</v>
      </c>
    </row>
    <row r="75" spans="2:2" x14ac:dyDescent="0.3">
      <c r="B75" s="32">
        <f t="shared" si="3"/>
        <v>34</v>
      </c>
    </row>
    <row r="76" spans="2:2" x14ac:dyDescent="0.3">
      <c r="B76" s="32">
        <f t="shared" si="3"/>
        <v>35</v>
      </c>
    </row>
    <row r="77" spans="2:2" x14ac:dyDescent="0.3">
      <c r="B77" s="32">
        <f t="shared" si="3"/>
        <v>36</v>
      </c>
    </row>
    <row r="78" spans="2:2" x14ac:dyDescent="0.3">
      <c r="B78" s="32">
        <f t="shared" si="3"/>
        <v>37</v>
      </c>
    </row>
    <row r="79" spans="2:2" x14ac:dyDescent="0.3">
      <c r="B79" s="32">
        <f t="shared" si="3"/>
        <v>38</v>
      </c>
    </row>
    <row r="80" spans="2:2" x14ac:dyDescent="0.3">
      <c r="B80" s="32">
        <f t="shared" si="3"/>
        <v>39</v>
      </c>
    </row>
    <row r="81" spans="2:2" x14ac:dyDescent="0.3">
      <c r="B81" s="32">
        <f t="shared" si="3"/>
        <v>40</v>
      </c>
    </row>
    <row r="82" spans="2:2" x14ac:dyDescent="0.3">
      <c r="B82" s="32">
        <f t="shared" si="3"/>
        <v>41</v>
      </c>
    </row>
    <row r="83" spans="2:2" x14ac:dyDescent="0.3">
      <c r="B83" s="32">
        <f t="shared" si="3"/>
        <v>42</v>
      </c>
    </row>
    <row r="84" spans="2:2" x14ac:dyDescent="0.3">
      <c r="B84" s="32">
        <f t="shared" si="3"/>
        <v>43</v>
      </c>
    </row>
    <row r="85" spans="2:2" x14ac:dyDescent="0.3">
      <c r="B85" s="32">
        <f t="shared" si="3"/>
        <v>44</v>
      </c>
    </row>
    <row r="86" spans="2:2" x14ac:dyDescent="0.3">
      <c r="B86" s="32">
        <f t="shared" si="3"/>
        <v>45</v>
      </c>
    </row>
    <row r="87" spans="2:2" x14ac:dyDescent="0.3">
      <c r="B87" s="32">
        <f t="shared" si="3"/>
        <v>46</v>
      </c>
    </row>
    <row r="88" spans="2:2" x14ac:dyDescent="0.3">
      <c r="B88" s="32">
        <f t="shared" si="3"/>
        <v>47</v>
      </c>
    </row>
    <row r="89" spans="2:2" x14ac:dyDescent="0.3">
      <c r="B89" s="32">
        <f t="shared" si="3"/>
        <v>48</v>
      </c>
    </row>
    <row r="90" spans="2:2" x14ac:dyDescent="0.3">
      <c r="B90" s="32">
        <f t="shared" si="3"/>
        <v>49</v>
      </c>
    </row>
    <row r="91" spans="2:2" x14ac:dyDescent="0.3">
      <c r="B91" s="32">
        <f t="shared" si="3"/>
        <v>50</v>
      </c>
    </row>
    <row r="92" spans="2:2" x14ac:dyDescent="0.3">
      <c r="B92" s="32">
        <f t="shared" si="3"/>
        <v>51</v>
      </c>
    </row>
    <row r="93" spans="2:2" x14ac:dyDescent="0.3">
      <c r="B93" s="32">
        <f t="shared" si="3"/>
        <v>52</v>
      </c>
    </row>
    <row r="94" spans="2:2" x14ac:dyDescent="0.3">
      <c r="B94" s="32">
        <f t="shared" si="3"/>
        <v>53</v>
      </c>
    </row>
    <row r="95" spans="2:2" x14ac:dyDescent="0.3">
      <c r="B95" s="32">
        <f t="shared" si="3"/>
        <v>54</v>
      </c>
    </row>
    <row r="96" spans="2:2" x14ac:dyDescent="0.3">
      <c r="B96" s="32">
        <f t="shared" si="3"/>
        <v>55</v>
      </c>
    </row>
    <row r="97" spans="2:2" x14ac:dyDescent="0.3">
      <c r="B97" s="32">
        <f t="shared" si="3"/>
        <v>56</v>
      </c>
    </row>
    <row r="98" spans="2:2" x14ac:dyDescent="0.3">
      <c r="B98" s="32">
        <f t="shared" si="3"/>
        <v>57</v>
      </c>
    </row>
    <row r="99" spans="2:2" x14ac:dyDescent="0.3">
      <c r="B99" s="32">
        <f t="shared" si="3"/>
        <v>58</v>
      </c>
    </row>
    <row r="100" spans="2:2" x14ac:dyDescent="0.3">
      <c r="B100" s="32">
        <f t="shared" si="3"/>
        <v>59</v>
      </c>
    </row>
    <row r="101" spans="2:2" x14ac:dyDescent="0.3">
      <c r="B101" s="32">
        <f t="shared" si="3"/>
        <v>60</v>
      </c>
    </row>
    <row r="102" spans="2:2" x14ac:dyDescent="0.3">
      <c r="B102" s="32">
        <f t="shared" si="3"/>
        <v>61</v>
      </c>
    </row>
    <row r="103" spans="2:2" x14ac:dyDescent="0.3">
      <c r="B103" s="32">
        <f t="shared" si="3"/>
        <v>62</v>
      </c>
    </row>
    <row r="104" spans="2:2" x14ac:dyDescent="0.3">
      <c r="B104" s="32">
        <f t="shared" si="3"/>
        <v>63</v>
      </c>
    </row>
    <row r="105" spans="2:2" x14ac:dyDescent="0.3">
      <c r="B105" s="32">
        <f t="shared" si="3"/>
        <v>64</v>
      </c>
    </row>
    <row r="106" spans="2:2" x14ac:dyDescent="0.3">
      <c r="B106" s="32">
        <f t="shared" ref="B106:B141" si="4">B105+1</f>
        <v>65</v>
      </c>
    </row>
    <row r="107" spans="2:2" x14ac:dyDescent="0.3">
      <c r="B107" s="32">
        <f t="shared" si="4"/>
        <v>66</v>
      </c>
    </row>
    <row r="108" spans="2:2" x14ac:dyDescent="0.3">
      <c r="B108" s="32">
        <f t="shared" si="4"/>
        <v>67</v>
      </c>
    </row>
    <row r="109" spans="2:2" x14ac:dyDescent="0.3">
      <c r="B109" s="32">
        <f t="shared" si="4"/>
        <v>68</v>
      </c>
    </row>
    <row r="110" spans="2:2" x14ac:dyDescent="0.3">
      <c r="B110" s="32">
        <f t="shared" si="4"/>
        <v>69</v>
      </c>
    </row>
    <row r="111" spans="2:2" x14ac:dyDescent="0.3">
      <c r="B111" s="32">
        <f t="shared" si="4"/>
        <v>70</v>
      </c>
    </row>
    <row r="112" spans="2:2" x14ac:dyDescent="0.3">
      <c r="B112" s="32">
        <f t="shared" si="4"/>
        <v>71</v>
      </c>
    </row>
    <row r="113" spans="2:2" x14ac:dyDescent="0.3">
      <c r="B113" s="32">
        <f t="shared" si="4"/>
        <v>72</v>
      </c>
    </row>
    <row r="114" spans="2:2" x14ac:dyDescent="0.3">
      <c r="B114" s="32">
        <f t="shared" si="4"/>
        <v>73</v>
      </c>
    </row>
    <row r="115" spans="2:2" x14ac:dyDescent="0.3">
      <c r="B115" s="32">
        <f t="shared" si="4"/>
        <v>74</v>
      </c>
    </row>
    <row r="116" spans="2:2" x14ac:dyDescent="0.3">
      <c r="B116" s="32">
        <f t="shared" si="4"/>
        <v>75</v>
      </c>
    </row>
    <row r="117" spans="2:2" x14ac:dyDescent="0.3">
      <c r="B117" s="32">
        <f t="shared" si="4"/>
        <v>76</v>
      </c>
    </row>
    <row r="118" spans="2:2" x14ac:dyDescent="0.3">
      <c r="B118" s="32">
        <f t="shared" si="4"/>
        <v>77</v>
      </c>
    </row>
    <row r="119" spans="2:2" x14ac:dyDescent="0.3">
      <c r="B119" s="32">
        <f t="shared" si="4"/>
        <v>78</v>
      </c>
    </row>
    <row r="120" spans="2:2" x14ac:dyDescent="0.3">
      <c r="B120" s="32">
        <f t="shared" si="4"/>
        <v>79</v>
      </c>
    </row>
    <row r="121" spans="2:2" x14ac:dyDescent="0.3">
      <c r="B121" s="32">
        <f t="shared" si="4"/>
        <v>80</v>
      </c>
    </row>
    <row r="122" spans="2:2" x14ac:dyDescent="0.3">
      <c r="B122" s="32">
        <f t="shared" si="4"/>
        <v>81</v>
      </c>
    </row>
    <row r="123" spans="2:2" x14ac:dyDescent="0.3">
      <c r="B123" s="32">
        <f t="shared" si="4"/>
        <v>82</v>
      </c>
    </row>
    <row r="124" spans="2:2" x14ac:dyDescent="0.3">
      <c r="B124" s="32">
        <f t="shared" si="4"/>
        <v>83</v>
      </c>
    </row>
    <row r="125" spans="2:2" x14ac:dyDescent="0.3">
      <c r="B125" s="32">
        <f t="shared" si="4"/>
        <v>84</v>
      </c>
    </row>
    <row r="126" spans="2:2" x14ac:dyDescent="0.3">
      <c r="B126" s="32">
        <f t="shared" si="4"/>
        <v>85</v>
      </c>
    </row>
    <row r="127" spans="2:2" x14ac:dyDescent="0.3">
      <c r="B127" s="32">
        <f t="shared" si="4"/>
        <v>86</v>
      </c>
    </row>
    <row r="128" spans="2:2" x14ac:dyDescent="0.3">
      <c r="B128" s="32">
        <f t="shared" si="4"/>
        <v>87</v>
      </c>
    </row>
    <row r="129" spans="2:2" x14ac:dyDescent="0.3">
      <c r="B129" s="32">
        <f t="shared" si="4"/>
        <v>88</v>
      </c>
    </row>
    <row r="130" spans="2:2" x14ac:dyDescent="0.3">
      <c r="B130" s="32">
        <f t="shared" si="4"/>
        <v>89</v>
      </c>
    </row>
    <row r="131" spans="2:2" x14ac:dyDescent="0.3">
      <c r="B131" s="32">
        <f t="shared" si="4"/>
        <v>90</v>
      </c>
    </row>
    <row r="132" spans="2:2" x14ac:dyDescent="0.3">
      <c r="B132" s="32">
        <f t="shared" si="4"/>
        <v>91</v>
      </c>
    </row>
    <row r="133" spans="2:2" x14ac:dyDescent="0.3">
      <c r="B133" s="32">
        <f t="shared" si="4"/>
        <v>92</v>
      </c>
    </row>
    <row r="134" spans="2:2" x14ac:dyDescent="0.3">
      <c r="B134" s="32">
        <f t="shared" si="4"/>
        <v>93</v>
      </c>
    </row>
    <row r="135" spans="2:2" x14ac:dyDescent="0.3">
      <c r="B135" s="32">
        <f t="shared" si="4"/>
        <v>94</v>
      </c>
    </row>
    <row r="136" spans="2:2" x14ac:dyDescent="0.3">
      <c r="B136" s="32">
        <f t="shared" si="4"/>
        <v>95</v>
      </c>
    </row>
    <row r="137" spans="2:2" x14ac:dyDescent="0.3">
      <c r="B137" s="32">
        <f t="shared" si="4"/>
        <v>96</v>
      </c>
    </row>
    <row r="138" spans="2:2" x14ac:dyDescent="0.3">
      <c r="B138" s="32">
        <f t="shared" si="4"/>
        <v>97</v>
      </c>
    </row>
    <row r="139" spans="2:2" x14ac:dyDescent="0.3">
      <c r="B139" s="32">
        <f t="shared" si="4"/>
        <v>98</v>
      </c>
    </row>
    <row r="140" spans="2:2" x14ac:dyDescent="0.3">
      <c r="B140" s="32">
        <f t="shared" si="4"/>
        <v>99</v>
      </c>
    </row>
    <row r="141" spans="2:2" x14ac:dyDescent="0.3">
      <c r="B141" s="32">
        <f t="shared" si="4"/>
        <v>100</v>
      </c>
    </row>
    <row r="145" spans="2:3" x14ac:dyDescent="0.3">
      <c r="B145" t="s">
        <v>18</v>
      </c>
      <c r="C145" s="3">
        <f>10</f>
        <v>10</v>
      </c>
    </row>
    <row r="146" spans="2:3" x14ac:dyDescent="0.3">
      <c r="B146" t="s">
        <v>20</v>
      </c>
      <c r="C146" s="3">
        <v>15</v>
      </c>
    </row>
    <row r="147" spans="2:3" x14ac:dyDescent="0.3">
      <c r="B147" t="s">
        <v>22</v>
      </c>
      <c r="C147" s="3">
        <v>20</v>
      </c>
    </row>
    <row r="148" spans="2:3" x14ac:dyDescent="0.3">
      <c r="B148" t="s">
        <v>23</v>
      </c>
      <c r="C148" s="3">
        <v>25</v>
      </c>
    </row>
    <row r="149" spans="2:3" x14ac:dyDescent="0.3">
      <c r="B149" t="s">
        <v>24</v>
      </c>
      <c r="C149" s="3">
        <v>30</v>
      </c>
    </row>
    <row r="150" spans="2:3" x14ac:dyDescent="0.3">
      <c r="B150" t="s">
        <v>95</v>
      </c>
      <c r="C150" s="3">
        <v>35</v>
      </c>
    </row>
    <row r="151" spans="2:3" x14ac:dyDescent="0.3">
      <c r="B151" t="s">
        <v>25</v>
      </c>
      <c r="C151" s="3">
        <v>45</v>
      </c>
    </row>
    <row r="152" spans="2:3" x14ac:dyDescent="0.3">
      <c r="B152" t="s">
        <v>26</v>
      </c>
      <c r="C152" s="3">
        <v>50</v>
      </c>
    </row>
    <row r="153" spans="2:3" x14ac:dyDescent="0.3">
      <c r="B153" t="s">
        <v>27</v>
      </c>
      <c r="C153" s="3">
        <v>55</v>
      </c>
    </row>
    <row r="154" spans="2:3" x14ac:dyDescent="0.3">
      <c r="B154" t="s">
        <v>28</v>
      </c>
      <c r="C154" s="3">
        <v>60</v>
      </c>
    </row>
  </sheetData>
  <protectedRanges>
    <protectedRange sqref="K12" name="Intervallo1_1"/>
  </protectedRanges>
  <customSheetViews>
    <customSheetView guid="{D7B93BBD-52EA-4172-A62E-DCFF75B40052}" state="hidden" topLeftCell="A17">
      <selection activeCell="D33" sqref="D33:D35"/>
      <pageMargins left="0.7" right="0.7" top="0.75" bottom="0.75" header="0.3" footer="0.3"/>
      <pageSetup paperSize="9" orientation="portrait" r:id="rId1"/>
    </customSheetView>
  </customSheetViews>
  <mergeCells count="4">
    <mergeCell ref="B33:C35"/>
    <mergeCell ref="D33:D35"/>
    <mergeCell ref="E20:F20"/>
    <mergeCell ref="B20:C20"/>
  </mergeCells>
  <dataValidations count="1">
    <dataValidation type="list" allowBlank="1" showInputMessage="1" showErrorMessage="1" sqref="D33">
      <formula1>sn</formula1>
    </dataValidation>
  </dataValidation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ISTRUZIONI</vt:lpstr>
      <vt:lpstr>DATI</vt:lpstr>
      <vt:lpstr>LEGAME COSTITUTIVO CALCESTRUZZO</vt:lpstr>
      <vt:lpstr>LEGAME COSTITUTIVO ACCIAIO</vt:lpstr>
      <vt:lpstr>foglio deposito</vt:lpstr>
      <vt:lpstr>clas</vt:lpstr>
      <vt:lpstr>fer</vt:lpstr>
      <vt:lpstr>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</dc:creator>
  <cp:lastModifiedBy>Utente</cp:lastModifiedBy>
  <cp:lastPrinted>2016-02-07T23:53:27Z</cp:lastPrinted>
  <dcterms:created xsi:type="dcterms:W3CDTF">2016-01-27T22:47:28Z</dcterms:created>
  <dcterms:modified xsi:type="dcterms:W3CDTF">2018-04-20T15:16:51Z</dcterms:modified>
</cp:coreProperties>
</file>