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PROGETTO PILASTRO\"/>
    </mc:Choice>
  </mc:AlternateContent>
  <workbookProtection workbookPassword="ABEF" lockStructure="1"/>
  <bookViews>
    <workbookView xWindow="0" yWindow="0" windowWidth="20490" windowHeight="7755" tabRatio="669"/>
  </bookViews>
  <sheets>
    <sheet name="ISTRUZIONI" sheetId="9" r:id="rId1"/>
    <sheet name="DATI" sheetId="11" r:id="rId2"/>
    <sheet name="Foglio2" sheetId="10" state="hidden" r:id="rId3"/>
    <sheet name="foglio deposito" sheetId="12" state="hidden" r:id="rId4"/>
    <sheet name="Verifica a Pressoflessione" sheetId="7" r:id="rId5"/>
    <sheet name="Progetto a Taglio" sheetId="2" r:id="rId6"/>
    <sheet name="GRAFICI" sheetId="8" r:id="rId7"/>
    <sheet name="caldom x" sheetId="3" r:id="rId8"/>
    <sheet name="caldom y" sheetId="4" r:id="rId9"/>
  </sheets>
  <externalReferences>
    <externalReference r:id="rId10"/>
    <externalReference r:id="rId11"/>
    <externalReference r:id="rId12"/>
  </externalReferences>
  <definedNames>
    <definedName name="ca">'[1]Foglio deposito'!$D$2:$D$4</definedName>
    <definedName name="cari">'[1]Foglio deposito'!$F$2:$F$4</definedName>
    <definedName name="CD">Foglio2!$B$10:$B$11</definedName>
    <definedName name="CDD">[1]Foglio1!$S$19:$S$20</definedName>
    <definedName name="clas">'foglio deposito'!$G$4:$G$14</definedName>
    <definedName name="DOM">Foglio2!$B$13:$B$14</definedName>
    <definedName name="dut">'foglio deposito'!$J$8:$J$9</definedName>
    <definedName name="fe">'[1]Foglio deposito'!$P$10:$P$11</definedName>
    <definedName name="fer">'foglio deposito'!$J$4:$J$5</definedName>
    <definedName name="FERR">[1]Foglio1!$K$4:$K$8</definedName>
    <definedName name="ff">[1]Foglio1!$N$4:$N$9</definedName>
    <definedName name="gn">'foglio deposito'!$J$23:$J$24</definedName>
    <definedName name="nn">[1]Foglio1!$M$6:$M$10</definedName>
    <definedName name="NU">[1]Foglio1!$M$4:$M$10</definedName>
    <definedName name="pf">'foglio deposito'!$J$15:$J$16</definedName>
    <definedName name="RD">Foglio2!$B$17:$B$18</definedName>
    <definedName name="sigc">'[1]Foglio deposito'!$E$141:$E$142</definedName>
    <definedName name="sigs">'[1]Foglio deposito'!$F$141:$F$142</definedName>
    <definedName name="sn">'foglio deposito'!#REF!</definedName>
    <definedName name="step">'[2]M-χ'!$B$33:$B$51</definedName>
    <definedName name="w">'[3]DATI NASCOSTI'!$C$105:$C$107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2" l="1"/>
  <c r="L20" i="12"/>
  <c r="F22" i="12"/>
  <c r="C22" i="12" l="1"/>
  <c r="D22" i="12"/>
  <c r="E22" i="12"/>
  <c r="F38" i="12"/>
  <c r="G37" i="12" s="1"/>
  <c r="E86" i="11"/>
  <c r="E4" i="12"/>
  <c r="H4" i="12"/>
  <c r="E6" i="12"/>
  <c r="E7" i="12"/>
  <c r="D13" i="12"/>
  <c r="F7" i="11"/>
  <c r="F17" i="11"/>
  <c r="F25" i="11" s="1"/>
  <c r="F33" i="11"/>
  <c r="F34" i="11"/>
  <c r="K12" i="12" s="1"/>
  <c r="F35" i="11"/>
  <c r="C32" i="12" l="1"/>
  <c r="H31" i="12" s="1"/>
  <c r="C27" i="12"/>
  <c r="E27" i="12" s="1"/>
  <c r="F19" i="11"/>
  <c r="F20" i="11"/>
  <c r="H32" i="12" l="1"/>
  <c r="J31" i="12"/>
  <c r="J32" i="12" s="1"/>
  <c r="J33" i="12" s="1"/>
  <c r="F21" i="11"/>
  <c r="F22" i="11" s="1"/>
  <c r="F18" i="11"/>
  <c r="F23" i="11" l="1"/>
  <c r="F24" i="11"/>
  <c r="M23" i="7" l="1"/>
  <c r="S23" i="7" s="1"/>
  <c r="S27" i="7"/>
  <c r="T21" i="7"/>
  <c r="P30" i="7"/>
  <c r="M19" i="7"/>
  <c r="S19" i="7" s="1"/>
  <c r="P16" i="7"/>
  <c r="P28" i="7" s="1"/>
  <c r="Q16" i="7"/>
  <c r="Q28" i="7" s="1"/>
  <c r="O16" i="7"/>
  <c r="O28" i="7" s="1"/>
  <c r="B8" i="10"/>
  <c r="F5" i="10"/>
  <c r="F6" i="10" s="1"/>
  <c r="F7" i="10" s="1"/>
  <c r="F8" i="10" s="1"/>
  <c r="F9" i="10" l="1"/>
  <c r="D17" i="7"/>
  <c r="F9" i="7"/>
  <c r="F7" i="7"/>
  <c r="H14" i="7"/>
  <c r="J14" i="7" s="1"/>
  <c r="H15" i="7"/>
  <c r="J15" i="7" s="1"/>
  <c r="F10" i="10" l="1"/>
  <c r="K15" i="7"/>
  <c r="N15" i="7"/>
  <c r="N14" i="7"/>
  <c r="K14" i="7"/>
  <c r="P13" i="7"/>
  <c r="M15" i="7"/>
  <c r="P15" i="7" s="1"/>
  <c r="M14" i="7"/>
  <c r="P14" i="7" s="1"/>
  <c r="D23" i="7"/>
  <c r="F11" i="10" l="1"/>
  <c r="C23" i="7"/>
  <c r="F12" i="10" l="1"/>
  <c r="D6" i="10"/>
  <c r="D4" i="10"/>
  <c r="E1" i="2"/>
  <c r="M7" i="2"/>
  <c r="F13" i="10" l="1"/>
  <c r="Z15" i="2"/>
  <c r="F14" i="10" l="1"/>
  <c r="P23" i="2"/>
  <c r="P22" i="2"/>
  <c r="Q17" i="2"/>
  <c r="P17" i="2"/>
  <c r="Q16" i="2"/>
  <c r="P16" i="2"/>
  <c r="O17" i="2"/>
  <c r="O16" i="2"/>
  <c r="M8" i="2"/>
  <c r="K8" i="2"/>
  <c r="O23" i="2" s="1"/>
  <c r="K7" i="2"/>
  <c r="O22" i="2" s="1"/>
  <c r="F15" i="10" l="1"/>
  <c r="Q23" i="2"/>
  <c r="Q22" i="2"/>
  <c r="G23" i="7"/>
  <c r="Q11" i="4"/>
  <c r="Q12" i="4" s="1"/>
  <c r="P18" i="4" s="1"/>
  <c r="C14" i="7"/>
  <c r="D14" i="7" s="1"/>
  <c r="C8" i="3"/>
  <c r="C6" i="3"/>
  <c r="C10" i="3"/>
  <c r="I8" i="3"/>
  <c r="I6" i="3"/>
  <c r="M6" i="3"/>
  <c r="D23" i="4"/>
  <c r="M6" i="4"/>
  <c r="I8" i="4"/>
  <c r="I6" i="4"/>
  <c r="I7" i="4" s="1"/>
  <c r="C10" i="4"/>
  <c r="C8" i="4"/>
  <c r="C6" i="4"/>
  <c r="R16" i="2"/>
  <c r="R17" i="2"/>
  <c r="M14" i="4"/>
  <c r="C124" i="4"/>
  <c r="C125" i="4" s="1"/>
  <c r="C126" i="4" s="1"/>
  <c r="C127" i="4" s="1"/>
  <c r="C128" i="4" s="1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 s="1"/>
  <c r="F16" i="10" l="1"/>
  <c r="B23" i="7"/>
  <c r="G262" i="4"/>
  <c r="F262" i="4" s="1"/>
  <c r="D122" i="4"/>
  <c r="D153" i="4"/>
  <c r="D90" i="4"/>
  <c r="N90" i="4" s="1"/>
  <c r="D137" i="4"/>
  <c r="N137" i="4" s="1"/>
  <c r="D149" i="4"/>
  <c r="D133" i="4"/>
  <c r="D118" i="4"/>
  <c r="N118" i="4" s="1"/>
  <c r="D102" i="4"/>
  <c r="N102" i="4" s="1"/>
  <c r="D86" i="4"/>
  <c r="D68" i="4"/>
  <c r="D106" i="4"/>
  <c r="N106" i="4" s="1"/>
  <c r="D74" i="4"/>
  <c r="N74" i="4" s="1"/>
  <c r="D145" i="4"/>
  <c r="D129" i="4"/>
  <c r="D114" i="4"/>
  <c r="N114" i="4" s="1"/>
  <c r="D98" i="4"/>
  <c r="N98" i="4" s="1"/>
  <c r="D82" i="4"/>
  <c r="D157" i="4"/>
  <c r="D141" i="4"/>
  <c r="N141" i="4" s="1"/>
  <c r="D110" i="4"/>
  <c r="N110" i="4" s="1"/>
  <c r="D94" i="4"/>
  <c r="D78" i="4"/>
  <c r="D156" i="4"/>
  <c r="N156" i="4" s="1"/>
  <c r="D152" i="4"/>
  <c r="N152" i="4" s="1"/>
  <c r="D148" i="4"/>
  <c r="D144" i="4"/>
  <c r="N144" i="4" s="1"/>
  <c r="D140" i="4"/>
  <c r="N140" i="4" s="1"/>
  <c r="D136" i="4"/>
  <c r="N136" i="4" s="1"/>
  <c r="D132" i="4"/>
  <c r="D128" i="4"/>
  <c r="N128" i="4" s="1"/>
  <c r="D126" i="4"/>
  <c r="D124" i="4"/>
  <c r="N124" i="4" s="1"/>
  <c r="D121" i="4"/>
  <c r="D117" i="4"/>
  <c r="D113" i="4"/>
  <c r="N113" i="4" s="1"/>
  <c r="D109" i="4"/>
  <c r="N109" i="4" s="1"/>
  <c r="D105" i="4"/>
  <c r="D101" i="4"/>
  <c r="N101" i="4" s="1"/>
  <c r="D97" i="4"/>
  <c r="N97" i="4" s="1"/>
  <c r="D93" i="4"/>
  <c r="N93" i="4" s="1"/>
  <c r="D89" i="4"/>
  <c r="D85" i="4"/>
  <c r="N85" i="4" s="1"/>
  <c r="D81" i="4"/>
  <c r="N81" i="4" s="1"/>
  <c r="D77" i="4"/>
  <c r="N77" i="4" s="1"/>
  <c r="D73" i="4"/>
  <c r="D67" i="4"/>
  <c r="N67" i="4" s="1"/>
  <c r="D59" i="4"/>
  <c r="D51" i="4"/>
  <c r="N51" i="4" s="1"/>
  <c r="D43" i="4"/>
  <c r="D33" i="4"/>
  <c r="E21" i="4"/>
  <c r="L21" i="4" s="1"/>
  <c r="D60" i="4"/>
  <c r="N60" i="4" s="1"/>
  <c r="D34" i="4"/>
  <c r="D158" i="4"/>
  <c r="D159" i="4" s="1"/>
  <c r="D160" i="4" s="1"/>
  <c r="D161" i="4" s="1"/>
  <c r="D162" i="4" s="1"/>
  <c r="D163" i="4" s="1"/>
  <c r="D155" i="4"/>
  <c r="N155" i="4" s="1"/>
  <c r="D151" i="4"/>
  <c r="N151" i="4" s="1"/>
  <c r="D147" i="4"/>
  <c r="D143" i="4"/>
  <c r="N143" i="4" s="1"/>
  <c r="D139" i="4"/>
  <c r="N139" i="4" s="1"/>
  <c r="D135" i="4"/>
  <c r="N135" i="4" s="1"/>
  <c r="D131" i="4"/>
  <c r="D120" i="4"/>
  <c r="N120" i="4" s="1"/>
  <c r="D116" i="4"/>
  <c r="N116" i="4" s="1"/>
  <c r="D112" i="4"/>
  <c r="N112" i="4" s="1"/>
  <c r="D108" i="4"/>
  <c r="D104" i="4"/>
  <c r="D100" i="4"/>
  <c r="N100" i="4" s="1"/>
  <c r="D96" i="4"/>
  <c r="N96" i="4" s="1"/>
  <c r="D92" i="4"/>
  <c r="D88" i="4"/>
  <c r="N88" i="4" s="1"/>
  <c r="D84" i="4"/>
  <c r="N84" i="4" s="1"/>
  <c r="D80" i="4"/>
  <c r="N80" i="4" s="1"/>
  <c r="D76" i="4"/>
  <c r="D72" i="4"/>
  <c r="D64" i="4"/>
  <c r="N64" i="4" s="1"/>
  <c r="D56" i="4"/>
  <c r="N56" i="4" s="1"/>
  <c r="D48" i="4"/>
  <c r="D40" i="4"/>
  <c r="N40" i="4" s="1"/>
  <c r="D29" i="4"/>
  <c r="N29" i="4" s="1"/>
  <c r="D52" i="4"/>
  <c r="N52" i="4" s="1"/>
  <c r="D44" i="4"/>
  <c r="D24" i="4"/>
  <c r="D154" i="4"/>
  <c r="N154" i="4" s="1"/>
  <c r="D150" i="4"/>
  <c r="N150" i="4" s="1"/>
  <c r="D146" i="4"/>
  <c r="D142" i="4"/>
  <c r="N142" i="4" s="1"/>
  <c r="D138" i="4"/>
  <c r="N138" i="4" s="1"/>
  <c r="D134" i="4"/>
  <c r="N134" i="4" s="1"/>
  <c r="D130" i="4"/>
  <c r="D127" i="4"/>
  <c r="N127" i="4" s="1"/>
  <c r="D125" i="4"/>
  <c r="N125" i="4" s="1"/>
  <c r="D123" i="4"/>
  <c r="N123" i="4" s="1"/>
  <c r="D119" i="4"/>
  <c r="D115" i="4"/>
  <c r="D111" i="4"/>
  <c r="N111" i="4" s="1"/>
  <c r="D107" i="4"/>
  <c r="N107" i="4" s="1"/>
  <c r="D103" i="4"/>
  <c r="D99" i="4"/>
  <c r="N99" i="4" s="1"/>
  <c r="D95" i="4"/>
  <c r="N95" i="4" s="1"/>
  <c r="D91" i="4"/>
  <c r="N91" i="4" s="1"/>
  <c r="D87" i="4"/>
  <c r="D83" i="4"/>
  <c r="N83" i="4" s="1"/>
  <c r="D79" i="4"/>
  <c r="D75" i="4"/>
  <c r="N75" i="4" s="1"/>
  <c r="D71" i="4"/>
  <c r="D63" i="4"/>
  <c r="N63" i="4" s="1"/>
  <c r="D55" i="4"/>
  <c r="N55" i="4" s="1"/>
  <c r="D47" i="4"/>
  <c r="N47" i="4" s="1"/>
  <c r="D39" i="4"/>
  <c r="D28" i="4"/>
  <c r="N28" i="4" s="1"/>
  <c r="D69" i="4"/>
  <c r="N69" i="4" s="1"/>
  <c r="D65" i="4"/>
  <c r="N65" i="4" s="1"/>
  <c r="D61" i="4"/>
  <c r="D57" i="4"/>
  <c r="N57" i="4" s="1"/>
  <c r="D53" i="4"/>
  <c r="N53" i="4" s="1"/>
  <c r="D49" i="4"/>
  <c r="N49" i="4" s="1"/>
  <c r="D45" i="4"/>
  <c r="D41" i="4"/>
  <c r="N41" i="4" s="1"/>
  <c r="D36" i="4"/>
  <c r="N36" i="4" s="1"/>
  <c r="D30" i="4"/>
  <c r="N30" i="4" s="1"/>
  <c r="D25" i="4"/>
  <c r="D70" i="4"/>
  <c r="N70" i="4" s="1"/>
  <c r="D66" i="4"/>
  <c r="N66" i="4" s="1"/>
  <c r="D62" i="4"/>
  <c r="N62" i="4" s="1"/>
  <c r="D58" i="4"/>
  <c r="D54" i="4"/>
  <c r="N54" i="4" s="1"/>
  <c r="D50" i="4"/>
  <c r="N50" i="4" s="1"/>
  <c r="D46" i="4"/>
  <c r="N46" i="4" s="1"/>
  <c r="D42" i="4"/>
  <c r="D37" i="4"/>
  <c r="N37" i="4" s="1"/>
  <c r="D32" i="4"/>
  <c r="N32" i="4" s="1"/>
  <c r="D26" i="4"/>
  <c r="N26" i="4" s="1"/>
  <c r="D21" i="4"/>
  <c r="Q11" i="3"/>
  <c r="H23" i="7"/>
  <c r="N104" i="4"/>
  <c r="N126" i="4"/>
  <c r="N82" i="4"/>
  <c r="N117" i="4"/>
  <c r="N146" i="4"/>
  <c r="N130" i="4"/>
  <c r="N43" i="4"/>
  <c r="N157" i="4"/>
  <c r="N153" i="4"/>
  <c r="N149" i="4"/>
  <c r="N145" i="4"/>
  <c r="N133" i="4"/>
  <c r="N129" i="4"/>
  <c r="N122" i="4"/>
  <c r="N119" i="4"/>
  <c r="N103" i="4"/>
  <c r="N92" i="4"/>
  <c r="N87" i="4"/>
  <c r="N79" i="4"/>
  <c r="N76" i="4"/>
  <c r="N71" i="4"/>
  <c r="N68" i="4"/>
  <c r="N59" i="4"/>
  <c r="N48" i="4"/>
  <c r="N45" i="4"/>
  <c r="N148" i="4"/>
  <c r="N132" i="4"/>
  <c r="N121" i="4"/>
  <c r="N108" i="4"/>
  <c r="N105" i="4"/>
  <c r="N94" i="4"/>
  <c r="N89" i="4"/>
  <c r="N86" i="4"/>
  <c r="N78" i="4"/>
  <c r="N73" i="4"/>
  <c r="N58" i="4"/>
  <c r="N42" i="4"/>
  <c r="N39" i="4"/>
  <c r="N147" i="4"/>
  <c r="N131" i="4"/>
  <c r="N115" i="4"/>
  <c r="N72" i="4"/>
  <c r="N61" i="4"/>
  <c r="N44" i="4"/>
  <c r="M9" i="4"/>
  <c r="D38" i="4"/>
  <c r="N38" i="4" s="1"/>
  <c r="D35" i="4"/>
  <c r="N35" i="4" s="1"/>
  <c r="D31" i="4"/>
  <c r="N31" i="4" s="1"/>
  <c r="D27" i="4"/>
  <c r="N27" i="4" s="1"/>
  <c r="I10" i="4"/>
  <c r="I127" i="4" s="1"/>
  <c r="G263" i="4"/>
  <c r="C264" i="4"/>
  <c r="N162" i="4"/>
  <c r="N161" i="4"/>
  <c r="N160" i="4"/>
  <c r="N158" i="4"/>
  <c r="C129" i="4"/>
  <c r="C13" i="4"/>
  <c r="C11" i="4"/>
  <c r="N21" i="4"/>
  <c r="N23" i="4"/>
  <c r="N25" i="4"/>
  <c r="N33" i="4"/>
  <c r="M16" i="4"/>
  <c r="N24" i="4"/>
  <c r="N34" i="4"/>
  <c r="B18" i="4"/>
  <c r="D22" i="4"/>
  <c r="F17" i="10" l="1"/>
  <c r="Q13" i="4"/>
  <c r="E262" i="4"/>
  <c r="L262" i="4" s="1"/>
  <c r="I23" i="7"/>
  <c r="J23" i="7" s="1"/>
  <c r="G21" i="4"/>
  <c r="N159" i="4"/>
  <c r="E23" i="7"/>
  <c r="Q14" i="4"/>
  <c r="H125" i="4"/>
  <c r="J125" i="4" s="1"/>
  <c r="H126" i="4"/>
  <c r="J126" i="4" s="1"/>
  <c r="H124" i="4"/>
  <c r="J124" i="4" s="1"/>
  <c r="I125" i="4"/>
  <c r="Z21" i="4"/>
  <c r="AA21" i="4" s="1"/>
  <c r="I124" i="4"/>
  <c r="H122" i="4"/>
  <c r="J122" i="4" s="1"/>
  <c r="I122" i="4"/>
  <c r="H123" i="4"/>
  <c r="J123" i="4" s="1"/>
  <c r="I123" i="4"/>
  <c r="H128" i="4"/>
  <c r="J128" i="4" s="1"/>
  <c r="H127" i="4"/>
  <c r="J127" i="4" s="1"/>
  <c r="I128" i="4"/>
  <c r="I126" i="4"/>
  <c r="K126" i="4" s="1"/>
  <c r="G122" i="4"/>
  <c r="G123" i="4"/>
  <c r="G124" i="4"/>
  <c r="G125" i="4"/>
  <c r="G126" i="4"/>
  <c r="G127" i="4"/>
  <c r="G128" i="4"/>
  <c r="G129" i="4"/>
  <c r="O21" i="4"/>
  <c r="G159" i="4"/>
  <c r="E159" i="4" s="1"/>
  <c r="L159" i="4" s="1"/>
  <c r="G161" i="4"/>
  <c r="E161" i="4" s="1"/>
  <c r="L161" i="4" s="1"/>
  <c r="G162" i="4"/>
  <c r="E162" i="4" s="1"/>
  <c r="L162" i="4" s="1"/>
  <c r="I129" i="4"/>
  <c r="H129" i="4"/>
  <c r="J129" i="4" s="1"/>
  <c r="C130" i="4"/>
  <c r="G264" i="4"/>
  <c r="C265" i="4"/>
  <c r="G158" i="4"/>
  <c r="E158" i="4" s="1"/>
  <c r="L158" i="4" s="1"/>
  <c r="G160" i="4"/>
  <c r="E160" i="4" s="1"/>
  <c r="L160" i="4" s="1"/>
  <c r="D263" i="4"/>
  <c r="N263" i="4" s="1"/>
  <c r="E263" i="4"/>
  <c r="L263" i="4" s="1"/>
  <c r="F263" i="4"/>
  <c r="N22" i="4"/>
  <c r="E22" i="4"/>
  <c r="P21" i="4"/>
  <c r="G163" i="4"/>
  <c r="E163" i="4" s="1"/>
  <c r="L163" i="4" s="1"/>
  <c r="N163" i="4"/>
  <c r="D164" i="4"/>
  <c r="D262" i="4"/>
  <c r="N262" i="4" s="1"/>
  <c r="Z262" i="4" s="1"/>
  <c r="AA262" i="4" s="1"/>
  <c r="F18" i="10" l="1"/>
  <c r="K124" i="4"/>
  <c r="K125" i="4"/>
  <c r="K128" i="4"/>
  <c r="K129" i="4"/>
  <c r="K123" i="4"/>
  <c r="K127" i="4"/>
  <c r="G164" i="4"/>
  <c r="E164" i="4" s="1"/>
  <c r="L164" i="4" s="1"/>
  <c r="D165" i="4"/>
  <c r="N164" i="4"/>
  <c r="G22" i="4"/>
  <c r="L22" i="4"/>
  <c r="E23" i="4"/>
  <c r="Z263" i="4"/>
  <c r="AA263" i="4" s="1"/>
  <c r="F264" i="4"/>
  <c r="D264" i="4"/>
  <c r="N264" i="4" s="1"/>
  <c r="E264" i="4"/>
  <c r="L264" i="4" s="1"/>
  <c r="Z159" i="4"/>
  <c r="AA159" i="4" s="1"/>
  <c r="M129" i="4"/>
  <c r="E129" i="4"/>
  <c r="L129" i="4" s="1"/>
  <c r="M125" i="4"/>
  <c r="E125" i="4"/>
  <c r="L125" i="4" s="1"/>
  <c r="Z160" i="4"/>
  <c r="AA160" i="4" s="1"/>
  <c r="I130" i="4"/>
  <c r="H130" i="4"/>
  <c r="J130" i="4" s="1"/>
  <c r="C131" i="4"/>
  <c r="W21" i="4"/>
  <c r="Q21" i="4"/>
  <c r="M128" i="4"/>
  <c r="E128" i="4"/>
  <c r="L128" i="4" s="1"/>
  <c r="M124" i="4"/>
  <c r="E124" i="4"/>
  <c r="L124" i="4" s="1"/>
  <c r="Z163" i="4"/>
  <c r="AA163" i="4" s="1"/>
  <c r="Z158" i="4"/>
  <c r="AA158" i="4" s="1"/>
  <c r="Z162" i="4"/>
  <c r="AA162" i="4" s="1"/>
  <c r="M127" i="4"/>
  <c r="E127" i="4"/>
  <c r="L127" i="4" s="1"/>
  <c r="M123" i="4"/>
  <c r="E123" i="4"/>
  <c r="L123" i="4" s="1"/>
  <c r="R21" i="4"/>
  <c r="S21" i="4" s="1"/>
  <c r="T21" i="4"/>
  <c r="X21" i="4"/>
  <c r="Y21" i="4"/>
  <c r="G265" i="4"/>
  <c r="C266" i="4"/>
  <c r="Z161" i="4"/>
  <c r="AA161" i="4" s="1"/>
  <c r="G130" i="4"/>
  <c r="M126" i="4"/>
  <c r="E126" i="4"/>
  <c r="L126" i="4" s="1"/>
  <c r="M122" i="4"/>
  <c r="E122" i="4"/>
  <c r="L122" i="4" s="1"/>
  <c r="F19" i="10" l="1"/>
  <c r="P129" i="4"/>
  <c r="X129" i="4" s="1"/>
  <c r="P126" i="4"/>
  <c r="Y126" i="4" s="1"/>
  <c r="C267" i="4"/>
  <c r="G266" i="4"/>
  <c r="V21" i="4"/>
  <c r="U21" i="4"/>
  <c r="Z127" i="4"/>
  <c r="AA127" i="4" s="1"/>
  <c r="O127" i="4"/>
  <c r="O128" i="4"/>
  <c r="Z128" i="4"/>
  <c r="AA128" i="4" s="1"/>
  <c r="I131" i="4"/>
  <c r="H131" i="4"/>
  <c r="J131" i="4" s="1"/>
  <c r="C132" i="4"/>
  <c r="G131" i="4"/>
  <c r="Z264" i="4"/>
  <c r="AA264" i="4" s="1"/>
  <c r="Z122" i="4"/>
  <c r="AA122" i="4" s="1"/>
  <c r="O122" i="4"/>
  <c r="M130" i="4"/>
  <c r="E130" i="4"/>
  <c r="L130" i="4" s="1"/>
  <c r="E265" i="4"/>
  <c r="L265" i="4" s="1"/>
  <c r="F265" i="4"/>
  <c r="D265" i="4"/>
  <c r="N265" i="4" s="1"/>
  <c r="P127" i="4"/>
  <c r="P128" i="4"/>
  <c r="Z125" i="4"/>
  <c r="AA125" i="4" s="1"/>
  <c r="O125" i="4"/>
  <c r="P122" i="4"/>
  <c r="Z123" i="4"/>
  <c r="AA123" i="4" s="1"/>
  <c r="O123" i="4"/>
  <c r="Z124" i="4"/>
  <c r="AA124" i="4" s="1"/>
  <c r="O124" i="4"/>
  <c r="K130" i="4"/>
  <c r="P125" i="4"/>
  <c r="G23" i="4"/>
  <c r="L23" i="4"/>
  <c r="E24" i="4"/>
  <c r="G165" i="4"/>
  <c r="E165" i="4" s="1"/>
  <c r="L165" i="4" s="1"/>
  <c r="D166" i="4"/>
  <c r="N165" i="4"/>
  <c r="Z126" i="4"/>
  <c r="AA126" i="4" s="1"/>
  <c r="O126" i="4"/>
  <c r="P123" i="4"/>
  <c r="P124" i="4"/>
  <c r="O129" i="4"/>
  <c r="Z129" i="4"/>
  <c r="AA129" i="4" s="1"/>
  <c r="P22" i="4"/>
  <c r="Z22" i="4"/>
  <c r="AA22" i="4" s="1"/>
  <c r="O22" i="4"/>
  <c r="Z164" i="4"/>
  <c r="AA164" i="4" s="1"/>
  <c r="F20" i="10" l="1"/>
  <c r="T126" i="4"/>
  <c r="U126" i="4" s="1"/>
  <c r="R129" i="4"/>
  <c r="S129" i="4" s="1"/>
  <c r="T129" i="4"/>
  <c r="V129" i="4" s="1"/>
  <c r="Y129" i="4"/>
  <c r="K131" i="4"/>
  <c r="X126" i="4"/>
  <c r="R126" i="4"/>
  <c r="S126" i="4" s="1"/>
  <c r="Y124" i="4"/>
  <c r="R124" i="4"/>
  <c r="S124" i="4" s="1"/>
  <c r="T124" i="4"/>
  <c r="X124" i="4"/>
  <c r="Z23" i="4"/>
  <c r="AA23" i="4" s="1"/>
  <c r="O23" i="4"/>
  <c r="P23" i="4"/>
  <c r="Q124" i="4"/>
  <c r="W124" i="4"/>
  <c r="T122" i="4"/>
  <c r="X122" i="4"/>
  <c r="Y122" i="4"/>
  <c r="R122" i="4"/>
  <c r="S122" i="4" s="1"/>
  <c r="Y127" i="4"/>
  <c r="R127" i="4"/>
  <c r="S127" i="4" s="1"/>
  <c r="T127" i="4"/>
  <c r="X127" i="4"/>
  <c r="Q122" i="4"/>
  <c r="W122" i="4"/>
  <c r="M131" i="4"/>
  <c r="E131" i="4"/>
  <c r="L131" i="4" s="1"/>
  <c r="Q22" i="4"/>
  <c r="W22" i="4"/>
  <c r="Y123" i="4"/>
  <c r="R123" i="4"/>
  <c r="S123" i="4" s="1"/>
  <c r="T123" i="4"/>
  <c r="X123" i="4"/>
  <c r="D167" i="4"/>
  <c r="N166" i="4"/>
  <c r="G166" i="4"/>
  <c r="E166" i="4" s="1"/>
  <c r="L166" i="4" s="1"/>
  <c r="Q125" i="4"/>
  <c r="W125" i="4"/>
  <c r="Z265" i="4"/>
  <c r="AA265" i="4" s="1"/>
  <c r="I132" i="4"/>
  <c r="H132" i="4"/>
  <c r="J132" i="4" s="1"/>
  <c r="C133" i="4"/>
  <c r="G132" i="4"/>
  <c r="Q128" i="4"/>
  <c r="W128" i="4"/>
  <c r="Q126" i="4"/>
  <c r="W126" i="4"/>
  <c r="Z165" i="4"/>
  <c r="AA165" i="4" s="1"/>
  <c r="Y125" i="4"/>
  <c r="R125" i="4"/>
  <c r="S125" i="4" s="1"/>
  <c r="T125" i="4"/>
  <c r="X125" i="4"/>
  <c r="Q123" i="4"/>
  <c r="W123" i="4"/>
  <c r="Z130" i="4"/>
  <c r="AA130" i="4" s="1"/>
  <c r="O130" i="4"/>
  <c r="Q127" i="4"/>
  <c r="W127" i="4"/>
  <c r="D266" i="4"/>
  <c r="N266" i="4" s="1"/>
  <c r="E266" i="4"/>
  <c r="L266" i="4" s="1"/>
  <c r="F266" i="4"/>
  <c r="T22" i="4"/>
  <c r="X22" i="4"/>
  <c r="Y22" i="4"/>
  <c r="R22" i="4"/>
  <c r="S22" i="4" s="1"/>
  <c r="Q129" i="4"/>
  <c r="W129" i="4"/>
  <c r="G24" i="4"/>
  <c r="L24" i="4"/>
  <c r="E25" i="4"/>
  <c r="Y128" i="4"/>
  <c r="R128" i="4"/>
  <c r="S128" i="4" s="1"/>
  <c r="T128" i="4"/>
  <c r="X128" i="4"/>
  <c r="P130" i="4"/>
  <c r="G267" i="4"/>
  <c r="C268" i="4"/>
  <c r="F21" i="10" l="1"/>
  <c r="V126" i="4"/>
  <c r="U129" i="4"/>
  <c r="P131" i="4"/>
  <c r="Y131" i="4" s="1"/>
  <c r="D267" i="4"/>
  <c r="N267" i="4" s="1"/>
  <c r="E267" i="4"/>
  <c r="L267" i="4" s="1"/>
  <c r="F267" i="4"/>
  <c r="G25" i="4"/>
  <c r="L25" i="4"/>
  <c r="E26" i="4"/>
  <c r="U22" i="4"/>
  <c r="V22" i="4"/>
  <c r="Q130" i="4"/>
  <c r="W130" i="4"/>
  <c r="D168" i="4"/>
  <c r="N167" i="4"/>
  <c r="G167" i="4"/>
  <c r="E167" i="4" s="1"/>
  <c r="L167" i="4" s="1"/>
  <c r="U127" i="4"/>
  <c r="V127" i="4"/>
  <c r="Y130" i="4"/>
  <c r="R130" i="4"/>
  <c r="S130" i="4" s="1"/>
  <c r="T130" i="4"/>
  <c r="X130" i="4"/>
  <c r="U128" i="4"/>
  <c r="V128" i="4"/>
  <c r="P24" i="4"/>
  <c r="Z24" i="4"/>
  <c r="AA24" i="4" s="1"/>
  <c r="O24" i="4"/>
  <c r="U125" i="4"/>
  <c r="V125" i="4"/>
  <c r="K132" i="4"/>
  <c r="R23" i="4"/>
  <c r="S23" i="4" s="1"/>
  <c r="T23" i="4"/>
  <c r="X23" i="4"/>
  <c r="Y23" i="4"/>
  <c r="U124" i="4"/>
  <c r="V124" i="4"/>
  <c r="M132" i="4"/>
  <c r="E132" i="4"/>
  <c r="L132" i="4" s="1"/>
  <c r="Z166" i="4"/>
  <c r="AA166" i="4" s="1"/>
  <c r="U123" i="4"/>
  <c r="V123" i="4"/>
  <c r="U122" i="4"/>
  <c r="V122" i="4"/>
  <c r="W23" i="4"/>
  <c r="Q23" i="4"/>
  <c r="G268" i="4"/>
  <c r="C269" i="4"/>
  <c r="Z266" i="4"/>
  <c r="AA266" i="4" s="1"/>
  <c r="I133" i="4"/>
  <c r="C134" i="4"/>
  <c r="H133" i="4"/>
  <c r="J133" i="4" s="1"/>
  <c r="G133" i="4"/>
  <c r="Z131" i="4"/>
  <c r="AA131" i="4" s="1"/>
  <c r="O131" i="4"/>
  <c r="F22" i="10" l="1"/>
  <c r="T131" i="4"/>
  <c r="V131" i="4" s="1"/>
  <c r="X131" i="4"/>
  <c r="R131" i="4"/>
  <c r="S131" i="4" s="1"/>
  <c r="K133" i="4"/>
  <c r="F268" i="4"/>
  <c r="D268" i="4"/>
  <c r="N268" i="4" s="1"/>
  <c r="E268" i="4"/>
  <c r="L268" i="4" s="1"/>
  <c r="T24" i="4"/>
  <c r="X24" i="4"/>
  <c r="Y24" i="4"/>
  <c r="R24" i="4"/>
  <c r="S24" i="4" s="1"/>
  <c r="U130" i="4"/>
  <c r="V130" i="4"/>
  <c r="G26" i="4"/>
  <c r="L26" i="4"/>
  <c r="E27" i="4"/>
  <c r="M133" i="4"/>
  <c r="E133" i="4"/>
  <c r="L133" i="4" s="1"/>
  <c r="Z132" i="4"/>
  <c r="AA132" i="4" s="1"/>
  <c r="O132" i="4"/>
  <c r="Z167" i="4"/>
  <c r="AA167" i="4" s="1"/>
  <c r="Z25" i="4"/>
  <c r="AA25" i="4" s="1"/>
  <c r="O25" i="4"/>
  <c r="P25" i="4"/>
  <c r="Z267" i="4"/>
  <c r="AA267" i="4" s="1"/>
  <c r="P132" i="4"/>
  <c r="Q24" i="4"/>
  <c r="W24" i="4"/>
  <c r="Q131" i="4"/>
  <c r="W131" i="4"/>
  <c r="I134" i="4"/>
  <c r="H134" i="4"/>
  <c r="J134" i="4" s="1"/>
  <c r="C135" i="4"/>
  <c r="G134" i="4"/>
  <c r="G269" i="4"/>
  <c r="C270" i="4"/>
  <c r="V23" i="4"/>
  <c r="U23" i="4"/>
  <c r="D169" i="4"/>
  <c r="N168" i="4"/>
  <c r="G168" i="4"/>
  <c r="E168" i="4" s="1"/>
  <c r="L168" i="4" s="1"/>
  <c r="U131" i="4" l="1"/>
  <c r="F23" i="10"/>
  <c r="M134" i="4"/>
  <c r="E134" i="4"/>
  <c r="L134" i="4" s="1"/>
  <c r="Y132" i="4"/>
  <c r="R132" i="4"/>
  <c r="S132" i="4" s="1"/>
  <c r="X132" i="4"/>
  <c r="T132" i="4"/>
  <c r="W25" i="4"/>
  <c r="Q25" i="4"/>
  <c r="Q132" i="4"/>
  <c r="W132" i="4"/>
  <c r="G27" i="4"/>
  <c r="E28" i="4"/>
  <c r="L27" i="4"/>
  <c r="U24" i="4"/>
  <c r="V24" i="4"/>
  <c r="Z168" i="4"/>
  <c r="AA168" i="4" s="1"/>
  <c r="I135" i="4"/>
  <c r="H135" i="4"/>
  <c r="J135" i="4" s="1"/>
  <c r="C136" i="4"/>
  <c r="G135" i="4"/>
  <c r="P26" i="4"/>
  <c r="Z26" i="4"/>
  <c r="AA26" i="4" s="1"/>
  <c r="O26" i="4"/>
  <c r="C271" i="4"/>
  <c r="G270" i="4"/>
  <c r="Z133" i="4"/>
  <c r="AA133" i="4" s="1"/>
  <c r="O133" i="4"/>
  <c r="Z268" i="4"/>
  <c r="AA268" i="4" s="1"/>
  <c r="D170" i="4"/>
  <c r="N169" i="4"/>
  <c r="G169" i="4"/>
  <c r="E169" i="4" s="1"/>
  <c r="L169" i="4" s="1"/>
  <c r="E269" i="4"/>
  <c r="L269" i="4" s="1"/>
  <c r="F269" i="4"/>
  <c r="D269" i="4"/>
  <c r="N269" i="4" s="1"/>
  <c r="K134" i="4"/>
  <c r="R25" i="4"/>
  <c r="S25" i="4" s="1"/>
  <c r="T25" i="4"/>
  <c r="X25" i="4"/>
  <c r="Y25" i="4"/>
  <c r="P133" i="4"/>
  <c r="F24" i="10" l="1"/>
  <c r="Z269" i="4"/>
  <c r="AA269" i="4" s="1"/>
  <c r="D270" i="4"/>
  <c r="N270" i="4" s="1"/>
  <c r="E270" i="4"/>
  <c r="L270" i="4" s="1"/>
  <c r="F270" i="4"/>
  <c r="Q26" i="4"/>
  <c r="W26" i="4"/>
  <c r="I136" i="4"/>
  <c r="H136" i="4"/>
  <c r="J136" i="4" s="1"/>
  <c r="C137" i="4"/>
  <c r="G136" i="4"/>
  <c r="G28" i="4"/>
  <c r="L28" i="4"/>
  <c r="E29" i="4"/>
  <c r="V25" i="4"/>
  <c r="U25" i="4"/>
  <c r="Z169" i="4"/>
  <c r="AA169" i="4" s="1"/>
  <c r="G271" i="4"/>
  <c r="C272" i="4"/>
  <c r="Y133" i="4"/>
  <c r="R133" i="4"/>
  <c r="S133" i="4" s="1"/>
  <c r="T133" i="4"/>
  <c r="X133" i="4"/>
  <c r="Q133" i="4"/>
  <c r="W133" i="4"/>
  <c r="T26" i="4"/>
  <c r="X26" i="4"/>
  <c r="Y26" i="4"/>
  <c r="R26" i="4"/>
  <c r="S26" i="4" s="1"/>
  <c r="K135" i="4"/>
  <c r="U132" i="4"/>
  <c r="V132" i="4"/>
  <c r="Z134" i="4"/>
  <c r="AA134" i="4" s="1"/>
  <c r="O134" i="4"/>
  <c r="D171" i="4"/>
  <c r="N170" i="4"/>
  <c r="G170" i="4"/>
  <c r="E170" i="4" s="1"/>
  <c r="L170" i="4" s="1"/>
  <c r="M135" i="4"/>
  <c r="E135" i="4"/>
  <c r="L135" i="4" s="1"/>
  <c r="Z27" i="4"/>
  <c r="AA27" i="4" s="1"/>
  <c r="O27" i="4"/>
  <c r="P27" i="4"/>
  <c r="P134" i="4"/>
  <c r="F25" i="10" l="1"/>
  <c r="Y134" i="4"/>
  <c r="R134" i="4"/>
  <c r="S134" i="4" s="1"/>
  <c r="T134" i="4"/>
  <c r="X134" i="4"/>
  <c r="Z135" i="4"/>
  <c r="AA135" i="4" s="1"/>
  <c r="O135" i="4"/>
  <c r="D172" i="4"/>
  <c r="N171" i="4"/>
  <c r="G171" i="4"/>
  <c r="E171" i="4" s="1"/>
  <c r="L171" i="4" s="1"/>
  <c r="G29" i="4"/>
  <c r="L29" i="4"/>
  <c r="E30" i="4"/>
  <c r="I137" i="4"/>
  <c r="C138" i="4"/>
  <c r="H137" i="4"/>
  <c r="J137" i="4" s="1"/>
  <c r="G137" i="4"/>
  <c r="R27" i="4"/>
  <c r="S27" i="4" s="1"/>
  <c r="T27" i="4"/>
  <c r="X27" i="4"/>
  <c r="Y27" i="4"/>
  <c r="P135" i="4"/>
  <c r="Q134" i="4"/>
  <c r="W134" i="4"/>
  <c r="U26" i="4"/>
  <c r="V26" i="4"/>
  <c r="P28" i="4"/>
  <c r="Z28" i="4"/>
  <c r="AA28" i="4" s="1"/>
  <c r="O28" i="4"/>
  <c r="W27" i="4"/>
  <c r="Q27" i="4"/>
  <c r="Z170" i="4"/>
  <c r="AA170" i="4" s="1"/>
  <c r="G272" i="4"/>
  <c r="C273" i="4"/>
  <c r="K136" i="4"/>
  <c r="U133" i="4"/>
  <c r="V133" i="4"/>
  <c r="D271" i="4"/>
  <c r="N271" i="4" s="1"/>
  <c r="E271" i="4"/>
  <c r="L271" i="4" s="1"/>
  <c r="F271" i="4"/>
  <c r="M136" i="4"/>
  <c r="E136" i="4"/>
  <c r="L136" i="4" s="1"/>
  <c r="Z270" i="4"/>
  <c r="AA270" i="4" s="1"/>
  <c r="F26" i="10" l="1"/>
  <c r="K137" i="4"/>
  <c r="P136" i="4"/>
  <c r="Y136" i="4" s="1"/>
  <c r="G273" i="4"/>
  <c r="C274" i="4"/>
  <c r="Q28" i="4"/>
  <c r="W28" i="4"/>
  <c r="M137" i="4"/>
  <c r="E137" i="4"/>
  <c r="L137" i="4" s="1"/>
  <c r="G30" i="4"/>
  <c r="L30" i="4"/>
  <c r="E31" i="4"/>
  <c r="F272" i="4"/>
  <c r="D272" i="4"/>
  <c r="N272" i="4" s="1"/>
  <c r="E272" i="4"/>
  <c r="L272" i="4" s="1"/>
  <c r="Z29" i="4"/>
  <c r="AA29" i="4" s="1"/>
  <c r="O29" i="4"/>
  <c r="P29" i="4"/>
  <c r="D173" i="4"/>
  <c r="N172" i="4"/>
  <c r="G172" i="4"/>
  <c r="E172" i="4" s="1"/>
  <c r="L172" i="4" s="1"/>
  <c r="U134" i="4"/>
  <c r="V134" i="4"/>
  <c r="Z136" i="4"/>
  <c r="AA136" i="4" s="1"/>
  <c r="O136" i="4"/>
  <c r="Z271" i="4"/>
  <c r="AA271" i="4" s="1"/>
  <c r="T28" i="4"/>
  <c r="X28" i="4"/>
  <c r="Y28" i="4"/>
  <c r="R28" i="4"/>
  <c r="S28" i="4" s="1"/>
  <c r="V27" i="4"/>
  <c r="U27" i="4"/>
  <c r="I138" i="4"/>
  <c r="H138" i="4"/>
  <c r="J138" i="4" s="1"/>
  <c r="C139" i="4"/>
  <c r="G138" i="4"/>
  <c r="Q135" i="4"/>
  <c r="W135" i="4"/>
  <c r="Y135" i="4"/>
  <c r="R135" i="4"/>
  <c r="S135" i="4" s="1"/>
  <c r="T135" i="4"/>
  <c r="X135" i="4"/>
  <c r="Z171" i="4"/>
  <c r="AA171" i="4" s="1"/>
  <c r="F27" i="10" l="1"/>
  <c r="X136" i="4"/>
  <c r="T136" i="4"/>
  <c r="V136" i="4" s="1"/>
  <c r="R136" i="4"/>
  <c r="S136" i="4" s="1"/>
  <c r="P137" i="4"/>
  <c r="R137" i="4" s="1"/>
  <c r="S137" i="4" s="1"/>
  <c r="K138" i="4"/>
  <c r="U135" i="4"/>
  <c r="V135" i="4"/>
  <c r="R29" i="4"/>
  <c r="S29" i="4" s="1"/>
  <c r="T29" i="4"/>
  <c r="X29" i="4"/>
  <c r="Y29" i="4"/>
  <c r="Z272" i="4"/>
  <c r="AA272" i="4" s="1"/>
  <c r="G31" i="4"/>
  <c r="L31" i="4"/>
  <c r="E32" i="4"/>
  <c r="E273" i="4"/>
  <c r="L273" i="4" s="1"/>
  <c r="F273" i="4"/>
  <c r="D273" i="4"/>
  <c r="N273" i="4" s="1"/>
  <c r="M138" i="4"/>
  <c r="E138" i="4"/>
  <c r="L138" i="4" s="1"/>
  <c r="Q136" i="4"/>
  <c r="W136" i="4"/>
  <c r="Z172" i="4"/>
  <c r="AA172" i="4" s="1"/>
  <c r="W29" i="4"/>
  <c r="Q29" i="4"/>
  <c r="P30" i="4"/>
  <c r="Z30" i="4"/>
  <c r="AA30" i="4" s="1"/>
  <c r="O30" i="4"/>
  <c r="I139" i="4"/>
  <c r="H139" i="4"/>
  <c r="J139" i="4" s="1"/>
  <c r="C140" i="4"/>
  <c r="G139" i="4"/>
  <c r="U28" i="4"/>
  <c r="V28" i="4"/>
  <c r="D174" i="4"/>
  <c r="N173" i="4"/>
  <c r="G173" i="4"/>
  <c r="E173" i="4" s="1"/>
  <c r="L173" i="4" s="1"/>
  <c r="Z137" i="4"/>
  <c r="AA137" i="4" s="1"/>
  <c r="O137" i="4"/>
  <c r="C275" i="4"/>
  <c r="G274" i="4"/>
  <c r="F28" i="10" l="1"/>
  <c r="U136" i="4"/>
  <c r="Y137" i="4"/>
  <c r="X137" i="4"/>
  <c r="K139" i="4"/>
  <c r="D274" i="4"/>
  <c r="N274" i="4" s="1"/>
  <c r="E274" i="4"/>
  <c r="L274" i="4" s="1"/>
  <c r="F274" i="4"/>
  <c r="D175" i="4"/>
  <c r="N174" i="4"/>
  <c r="G174" i="4"/>
  <c r="E174" i="4" s="1"/>
  <c r="L174" i="4" s="1"/>
  <c r="Z273" i="4"/>
  <c r="AA273" i="4" s="1"/>
  <c r="V29" i="4"/>
  <c r="U29" i="4"/>
  <c r="G275" i="4"/>
  <c r="C276" i="4"/>
  <c r="M139" i="4"/>
  <c r="E139" i="4"/>
  <c r="L139" i="4" s="1"/>
  <c r="Q30" i="4"/>
  <c r="W30" i="4"/>
  <c r="G32" i="4"/>
  <c r="L32" i="4"/>
  <c r="E33" i="4"/>
  <c r="Q137" i="4"/>
  <c r="W137" i="4"/>
  <c r="Z173" i="4"/>
  <c r="AA173" i="4" s="1"/>
  <c r="I140" i="4"/>
  <c r="H140" i="4"/>
  <c r="J140" i="4" s="1"/>
  <c r="C141" i="4"/>
  <c r="G140" i="4"/>
  <c r="Z138" i="4"/>
  <c r="AA138" i="4" s="1"/>
  <c r="O138" i="4"/>
  <c r="T137" i="4"/>
  <c r="Z31" i="4"/>
  <c r="AA31" i="4" s="1"/>
  <c r="O31" i="4"/>
  <c r="P31" i="4"/>
  <c r="T30" i="4"/>
  <c r="X30" i="4"/>
  <c r="Y30" i="4"/>
  <c r="R30" i="4"/>
  <c r="S30" i="4" s="1"/>
  <c r="P138" i="4"/>
  <c r="F29" i="10" l="1"/>
  <c r="W31" i="4"/>
  <c r="Q31" i="4"/>
  <c r="I141" i="4"/>
  <c r="C142" i="4"/>
  <c r="H141" i="4"/>
  <c r="J141" i="4" s="1"/>
  <c r="G141" i="4"/>
  <c r="P32" i="4"/>
  <c r="Z32" i="4"/>
  <c r="AA32" i="4" s="1"/>
  <c r="O32" i="4"/>
  <c r="Z139" i="4"/>
  <c r="AA139" i="4" s="1"/>
  <c r="O139" i="4"/>
  <c r="Z174" i="4"/>
  <c r="AA174" i="4" s="1"/>
  <c r="Q138" i="4"/>
  <c r="W138" i="4"/>
  <c r="P139" i="4"/>
  <c r="Z274" i="4"/>
  <c r="AA274" i="4" s="1"/>
  <c r="Y138" i="4"/>
  <c r="R138" i="4"/>
  <c r="S138" i="4" s="1"/>
  <c r="T138" i="4"/>
  <c r="X138" i="4"/>
  <c r="U30" i="4"/>
  <c r="V30" i="4"/>
  <c r="U137" i="4"/>
  <c r="V137" i="4"/>
  <c r="K140" i="4"/>
  <c r="G276" i="4"/>
  <c r="C277" i="4"/>
  <c r="G277" i="4" s="1"/>
  <c r="D176" i="4"/>
  <c r="N175" i="4"/>
  <c r="G175" i="4"/>
  <c r="E175" i="4" s="1"/>
  <c r="L175" i="4" s="1"/>
  <c r="R31" i="4"/>
  <c r="S31" i="4" s="1"/>
  <c r="T31" i="4"/>
  <c r="X31" i="4"/>
  <c r="Y31" i="4"/>
  <c r="M140" i="4"/>
  <c r="E140" i="4"/>
  <c r="L140" i="4" s="1"/>
  <c r="G33" i="4"/>
  <c r="L33" i="4"/>
  <c r="E34" i="4"/>
  <c r="D275" i="4"/>
  <c r="N275" i="4" s="1"/>
  <c r="E275" i="4"/>
  <c r="L275" i="4" s="1"/>
  <c r="F275" i="4"/>
  <c r="F30" i="10" l="1"/>
  <c r="K141" i="4"/>
  <c r="P140" i="4"/>
  <c r="Y140" i="4" s="1"/>
  <c r="Z275" i="4"/>
  <c r="AA275" i="4" s="1"/>
  <c r="Z175" i="4"/>
  <c r="AA175" i="4" s="1"/>
  <c r="F276" i="4"/>
  <c r="E276" i="4"/>
  <c r="L276" i="4" s="1"/>
  <c r="D276" i="4"/>
  <c r="N276" i="4" s="1"/>
  <c r="Y139" i="4"/>
  <c r="R139" i="4"/>
  <c r="S139" i="4" s="1"/>
  <c r="T139" i="4"/>
  <c r="X139" i="4"/>
  <c r="I142" i="4"/>
  <c r="H142" i="4"/>
  <c r="C143" i="4"/>
  <c r="G142" i="4"/>
  <c r="Z33" i="4"/>
  <c r="AA33" i="4" s="1"/>
  <c r="O33" i="4"/>
  <c r="P33" i="4"/>
  <c r="Q139" i="4"/>
  <c r="W139" i="4"/>
  <c r="T32" i="4"/>
  <c r="X32" i="4"/>
  <c r="Y32" i="4"/>
  <c r="R32" i="4"/>
  <c r="S32" i="4" s="1"/>
  <c r="Z140" i="4"/>
  <c r="AA140" i="4" s="1"/>
  <c r="O140" i="4"/>
  <c r="T140" i="4" s="1"/>
  <c r="V31" i="4"/>
  <c r="U31" i="4"/>
  <c r="D177" i="4"/>
  <c r="N176" i="4"/>
  <c r="G176" i="4"/>
  <c r="E176" i="4" s="1"/>
  <c r="L176" i="4" s="1"/>
  <c r="M141" i="4"/>
  <c r="E141" i="4"/>
  <c r="L141" i="4" s="1"/>
  <c r="G34" i="4"/>
  <c r="L34" i="4"/>
  <c r="E35" i="4"/>
  <c r="E277" i="4"/>
  <c r="L277" i="4" s="1"/>
  <c r="F277" i="4"/>
  <c r="D277" i="4"/>
  <c r="N277" i="4" s="1"/>
  <c r="U138" i="4"/>
  <c r="V138" i="4"/>
  <c r="Q32" i="4"/>
  <c r="W32" i="4"/>
  <c r="F31" i="10" l="1"/>
  <c r="X140" i="4"/>
  <c r="R140" i="4"/>
  <c r="S140" i="4" s="1"/>
  <c r="U140" i="4"/>
  <c r="V140" i="4"/>
  <c r="G35" i="4"/>
  <c r="E36" i="4"/>
  <c r="L35" i="4"/>
  <c r="P141" i="4"/>
  <c r="R33" i="4"/>
  <c r="S33" i="4" s="1"/>
  <c r="T33" i="4"/>
  <c r="X33" i="4"/>
  <c r="Y33" i="4"/>
  <c r="C144" i="4"/>
  <c r="I144" i="4" s="1"/>
  <c r="G143" i="4"/>
  <c r="U139" i="4"/>
  <c r="V139" i="4"/>
  <c r="P34" i="4"/>
  <c r="Z34" i="4"/>
  <c r="AA34" i="4" s="1"/>
  <c r="O34" i="4"/>
  <c r="Z176" i="4"/>
  <c r="AA176" i="4" s="1"/>
  <c r="U32" i="4"/>
  <c r="V32" i="4"/>
  <c r="W33" i="4"/>
  <c r="Q33" i="4"/>
  <c r="J142" i="4"/>
  <c r="M142" i="4" s="1"/>
  <c r="H144" i="4"/>
  <c r="J144" i="4" s="1"/>
  <c r="H143" i="4"/>
  <c r="J143" i="4" s="1"/>
  <c r="Q140" i="4"/>
  <c r="W140" i="4"/>
  <c r="I143" i="4"/>
  <c r="K142" i="4"/>
  <c r="Z276" i="4"/>
  <c r="AA276" i="4" s="1"/>
  <c r="Z277" i="4"/>
  <c r="AA277" i="4" s="1"/>
  <c r="Z141" i="4"/>
  <c r="AA141" i="4" s="1"/>
  <c r="O141" i="4"/>
  <c r="D178" i="4"/>
  <c r="N177" i="4"/>
  <c r="G177" i="4"/>
  <c r="E177" i="4" s="1"/>
  <c r="L177" i="4" s="1"/>
  <c r="E142" i="4"/>
  <c r="L142" i="4" s="1"/>
  <c r="F32" i="10" l="1"/>
  <c r="K143" i="4"/>
  <c r="P142" i="4"/>
  <c r="R142" i="4" s="1"/>
  <c r="S142" i="4" s="1"/>
  <c r="Z177" i="4"/>
  <c r="AA177" i="4" s="1"/>
  <c r="M143" i="4"/>
  <c r="E143" i="4"/>
  <c r="L143" i="4" s="1"/>
  <c r="V33" i="4"/>
  <c r="U33" i="4"/>
  <c r="L36" i="4"/>
  <c r="E37" i="4"/>
  <c r="G36" i="4"/>
  <c r="Q34" i="4"/>
  <c r="W34" i="4"/>
  <c r="C145" i="4"/>
  <c r="G144" i="4"/>
  <c r="Y141" i="4"/>
  <c r="R141" i="4"/>
  <c r="S141" i="4" s="1"/>
  <c r="T141" i="4"/>
  <c r="X141" i="4"/>
  <c r="Z142" i="4"/>
  <c r="AA142" i="4" s="1"/>
  <c r="O142" i="4"/>
  <c r="D179" i="4"/>
  <c r="N178" i="4"/>
  <c r="G178" i="4"/>
  <c r="E178" i="4" s="1"/>
  <c r="L178" i="4" s="1"/>
  <c r="Q141" i="4"/>
  <c r="W141" i="4"/>
  <c r="K144" i="4"/>
  <c r="T34" i="4"/>
  <c r="X34" i="4"/>
  <c r="Y34" i="4"/>
  <c r="R34" i="4"/>
  <c r="S34" i="4" s="1"/>
  <c r="O35" i="4"/>
  <c r="P35" i="4"/>
  <c r="Z35" i="4"/>
  <c r="AA35" i="4" s="1"/>
  <c r="F33" i="10" l="1"/>
  <c r="X142" i="4"/>
  <c r="Y142" i="4"/>
  <c r="D180" i="4"/>
  <c r="N179" i="4"/>
  <c r="G179" i="4"/>
  <c r="E179" i="4" s="1"/>
  <c r="L179" i="4" s="1"/>
  <c r="U141" i="4"/>
  <c r="V141" i="4"/>
  <c r="C146" i="4"/>
  <c r="G145" i="4"/>
  <c r="I145" i="4"/>
  <c r="H145" i="4"/>
  <c r="J145" i="4" s="1"/>
  <c r="G37" i="4"/>
  <c r="E38" i="4"/>
  <c r="L37" i="4"/>
  <c r="Z143" i="4"/>
  <c r="AA143" i="4" s="1"/>
  <c r="O143" i="4"/>
  <c r="R35" i="4"/>
  <c r="S35" i="4" s="1"/>
  <c r="T35" i="4"/>
  <c r="X35" i="4"/>
  <c r="Y35" i="4"/>
  <c r="Q142" i="4"/>
  <c r="W142" i="4"/>
  <c r="Z36" i="4"/>
  <c r="AA36" i="4" s="1"/>
  <c r="P36" i="4"/>
  <c r="O36" i="4"/>
  <c r="P143" i="4"/>
  <c r="T142" i="4"/>
  <c r="W35" i="4"/>
  <c r="Q35" i="4"/>
  <c r="U34" i="4"/>
  <c r="V34" i="4"/>
  <c r="Z178" i="4"/>
  <c r="AA178" i="4" s="1"/>
  <c r="M144" i="4"/>
  <c r="E144" i="4"/>
  <c r="L144" i="4" s="1"/>
  <c r="F34" i="10" l="1"/>
  <c r="K145" i="4"/>
  <c r="P144" i="4"/>
  <c r="Y143" i="4"/>
  <c r="R143" i="4"/>
  <c r="S143" i="4" s="1"/>
  <c r="T143" i="4"/>
  <c r="X143" i="4"/>
  <c r="V35" i="4"/>
  <c r="U35" i="4"/>
  <c r="O37" i="4"/>
  <c r="P37" i="4"/>
  <c r="Z37" i="4"/>
  <c r="AA37" i="4" s="1"/>
  <c r="Q36" i="4"/>
  <c r="W36" i="4"/>
  <c r="L38" i="4"/>
  <c r="E39" i="4"/>
  <c r="G38" i="4"/>
  <c r="M145" i="4"/>
  <c r="E145" i="4"/>
  <c r="L145" i="4" s="1"/>
  <c r="Z179" i="4"/>
  <c r="AA179" i="4" s="1"/>
  <c r="Y36" i="4"/>
  <c r="R36" i="4"/>
  <c r="S36" i="4" s="1"/>
  <c r="X36" i="4"/>
  <c r="T36" i="4"/>
  <c r="Q143" i="4"/>
  <c r="W143" i="4"/>
  <c r="C147" i="4"/>
  <c r="G146" i="4"/>
  <c r="H146" i="4"/>
  <c r="J146" i="4" s="1"/>
  <c r="I146" i="4"/>
  <c r="Z144" i="4"/>
  <c r="AA144" i="4" s="1"/>
  <c r="O144" i="4"/>
  <c r="U142" i="4"/>
  <c r="V142" i="4"/>
  <c r="D181" i="4"/>
  <c r="N180" i="4"/>
  <c r="G180" i="4"/>
  <c r="E180" i="4" s="1"/>
  <c r="L180" i="4" s="1"/>
  <c r="F35" i="10" l="1"/>
  <c r="K146" i="4"/>
  <c r="Z180" i="4"/>
  <c r="AA180" i="4" s="1"/>
  <c r="P145" i="4"/>
  <c r="W37" i="4"/>
  <c r="Q37" i="4"/>
  <c r="U143" i="4"/>
  <c r="V143" i="4"/>
  <c r="Q144" i="4"/>
  <c r="W144" i="4"/>
  <c r="M146" i="4"/>
  <c r="E146" i="4"/>
  <c r="L146" i="4" s="1"/>
  <c r="U36" i="4"/>
  <c r="V36" i="4"/>
  <c r="D182" i="4"/>
  <c r="N181" i="4"/>
  <c r="G181" i="4"/>
  <c r="E181" i="4" s="1"/>
  <c r="L181" i="4" s="1"/>
  <c r="C148" i="4"/>
  <c r="G147" i="4"/>
  <c r="H147" i="4"/>
  <c r="J147" i="4" s="1"/>
  <c r="I147" i="4"/>
  <c r="G39" i="4"/>
  <c r="E40" i="4"/>
  <c r="L39" i="4"/>
  <c r="Z145" i="4"/>
  <c r="AA145" i="4" s="1"/>
  <c r="O145" i="4"/>
  <c r="O38" i="4"/>
  <c r="Z38" i="4"/>
  <c r="AA38" i="4" s="1"/>
  <c r="P38" i="4"/>
  <c r="T37" i="4"/>
  <c r="X37" i="4"/>
  <c r="Y37" i="4"/>
  <c r="R37" i="4"/>
  <c r="S37" i="4" s="1"/>
  <c r="Y144" i="4"/>
  <c r="R144" i="4"/>
  <c r="S144" i="4" s="1"/>
  <c r="X144" i="4"/>
  <c r="T144" i="4"/>
  <c r="F36" i="10" l="1"/>
  <c r="K147" i="4"/>
  <c r="U144" i="4"/>
  <c r="V144" i="4"/>
  <c r="Y38" i="4"/>
  <c r="R38" i="4"/>
  <c r="S38" i="4" s="1"/>
  <c r="X38" i="4"/>
  <c r="T38" i="4"/>
  <c r="Z181" i="4"/>
  <c r="AA181" i="4" s="1"/>
  <c r="O39" i="4"/>
  <c r="P39" i="4"/>
  <c r="Z39" i="4"/>
  <c r="AA39" i="4" s="1"/>
  <c r="Z146" i="4"/>
  <c r="AA146" i="4" s="1"/>
  <c r="O146" i="4"/>
  <c r="Y145" i="4"/>
  <c r="R145" i="4"/>
  <c r="S145" i="4" s="1"/>
  <c r="T145" i="4"/>
  <c r="X145" i="4"/>
  <c r="Q38" i="4"/>
  <c r="W38" i="4"/>
  <c r="G40" i="4"/>
  <c r="L40" i="4"/>
  <c r="E41" i="4"/>
  <c r="M147" i="4"/>
  <c r="E147" i="4"/>
  <c r="L147" i="4" s="1"/>
  <c r="D183" i="4"/>
  <c r="N182" i="4"/>
  <c r="G182" i="4"/>
  <c r="E182" i="4" s="1"/>
  <c r="L182" i="4" s="1"/>
  <c r="P146" i="4"/>
  <c r="V37" i="4"/>
  <c r="U37" i="4"/>
  <c r="Q145" i="4"/>
  <c r="W145" i="4"/>
  <c r="C149" i="4"/>
  <c r="G148" i="4"/>
  <c r="I148" i="4"/>
  <c r="H148" i="4"/>
  <c r="J148" i="4" s="1"/>
  <c r="F37" i="10" l="1"/>
  <c r="P147" i="4"/>
  <c r="X147" i="4" s="1"/>
  <c r="K148" i="4"/>
  <c r="Y146" i="4"/>
  <c r="R146" i="4"/>
  <c r="S146" i="4" s="1"/>
  <c r="T146" i="4"/>
  <c r="X146" i="4"/>
  <c r="Z147" i="4"/>
  <c r="AA147" i="4" s="1"/>
  <c r="O147" i="4"/>
  <c r="U145" i="4"/>
  <c r="V145" i="4"/>
  <c r="Z182" i="4"/>
  <c r="AA182" i="4" s="1"/>
  <c r="M148" i="4"/>
  <c r="E148" i="4"/>
  <c r="L148" i="4" s="1"/>
  <c r="G41" i="4"/>
  <c r="L41" i="4"/>
  <c r="E42" i="4"/>
  <c r="T39" i="4"/>
  <c r="X39" i="4"/>
  <c r="Y39" i="4"/>
  <c r="R39" i="4"/>
  <c r="S39" i="4" s="1"/>
  <c r="U38" i="4"/>
  <c r="V38" i="4"/>
  <c r="C150" i="4"/>
  <c r="G149" i="4"/>
  <c r="I149" i="4"/>
  <c r="H149" i="4"/>
  <c r="J149" i="4" s="1"/>
  <c r="D184" i="4"/>
  <c r="N183" i="4"/>
  <c r="G183" i="4"/>
  <c r="E183" i="4" s="1"/>
  <c r="L183" i="4" s="1"/>
  <c r="Z40" i="4"/>
  <c r="AA40" i="4" s="1"/>
  <c r="O40" i="4"/>
  <c r="P40" i="4"/>
  <c r="Q146" i="4"/>
  <c r="W146" i="4"/>
  <c r="Q39" i="4"/>
  <c r="W39" i="4"/>
  <c r="F38" i="10" l="1"/>
  <c r="R147" i="4"/>
  <c r="S147" i="4" s="1"/>
  <c r="Y147" i="4"/>
  <c r="T147" i="4"/>
  <c r="V147" i="4" s="1"/>
  <c r="K149" i="4"/>
  <c r="Z183" i="4"/>
  <c r="AA183" i="4" s="1"/>
  <c r="U39" i="4"/>
  <c r="V39" i="4"/>
  <c r="Z148" i="4"/>
  <c r="AA148" i="4" s="1"/>
  <c r="O148" i="4"/>
  <c r="R40" i="4"/>
  <c r="S40" i="4" s="1"/>
  <c r="T40" i="4"/>
  <c r="X40" i="4"/>
  <c r="Y40" i="4"/>
  <c r="M149" i="4"/>
  <c r="E149" i="4"/>
  <c r="L149" i="4" s="1"/>
  <c r="G42" i="4"/>
  <c r="E43" i="4"/>
  <c r="L42" i="4"/>
  <c r="P148" i="4"/>
  <c r="U146" i="4"/>
  <c r="V146" i="4"/>
  <c r="W40" i="4"/>
  <c r="Q40" i="4"/>
  <c r="D185" i="4"/>
  <c r="N184" i="4"/>
  <c r="G184" i="4"/>
  <c r="E184" i="4" s="1"/>
  <c r="L184" i="4" s="1"/>
  <c r="C151" i="4"/>
  <c r="G150" i="4"/>
  <c r="H150" i="4"/>
  <c r="J150" i="4" s="1"/>
  <c r="I150" i="4"/>
  <c r="P41" i="4"/>
  <c r="Z41" i="4"/>
  <c r="AA41" i="4" s="1"/>
  <c r="O41" i="4"/>
  <c r="Q147" i="4"/>
  <c r="W147" i="4"/>
  <c r="F39" i="10" l="1"/>
  <c r="U147" i="4"/>
  <c r="K150" i="4"/>
  <c r="T41" i="4"/>
  <c r="X41" i="4"/>
  <c r="Y41" i="4"/>
  <c r="R41" i="4"/>
  <c r="S41" i="4" s="1"/>
  <c r="C152" i="4"/>
  <c r="G151" i="4"/>
  <c r="H151" i="4"/>
  <c r="J151" i="4" s="1"/>
  <c r="I151" i="4"/>
  <c r="Y148" i="4"/>
  <c r="R148" i="4"/>
  <c r="S148" i="4" s="1"/>
  <c r="X148" i="4"/>
  <c r="T148" i="4"/>
  <c r="Z149" i="4"/>
  <c r="AA149" i="4" s="1"/>
  <c r="O149" i="4"/>
  <c r="V40" i="4"/>
  <c r="U40" i="4"/>
  <c r="Z184" i="4"/>
  <c r="AA184" i="4" s="1"/>
  <c r="Z42" i="4"/>
  <c r="AA42" i="4" s="1"/>
  <c r="O42" i="4"/>
  <c r="P42" i="4"/>
  <c r="P149" i="4"/>
  <c r="Q41" i="4"/>
  <c r="W41" i="4"/>
  <c r="G43" i="4"/>
  <c r="L43" i="4"/>
  <c r="E44" i="4"/>
  <c r="Q148" i="4"/>
  <c r="W148" i="4"/>
  <c r="M150" i="4"/>
  <c r="E150" i="4"/>
  <c r="L150" i="4" s="1"/>
  <c r="D186" i="4"/>
  <c r="N185" i="4"/>
  <c r="G185" i="4"/>
  <c r="E185" i="4" s="1"/>
  <c r="L185" i="4" s="1"/>
  <c r="F40" i="10" l="1"/>
  <c r="K151" i="4"/>
  <c r="D187" i="4"/>
  <c r="N186" i="4"/>
  <c r="G186" i="4"/>
  <c r="E186" i="4" s="1"/>
  <c r="L186" i="4" s="1"/>
  <c r="W42" i="4"/>
  <c r="Q42" i="4"/>
  <c r="U148" i="4"/>
  <c r="V148" i="4"/>
  <c r="Z150" i="4"/>
  <c r="AA150" i="4" s="1"/>
  <c r="O150" i="4"/>
  <c r="G44" i="4"/>
  <c r="E45" i="4"/>
  <c r="L44" i="4"/>
  <c r="Z185" i="4"/>
  <c r="AA185" i="4" s="1"/>
  <c r="P150" i="4"/>
  <c r="P43" i="4"/>
  <c r="Z43" i="4"/>
  <c r="AA43" i="4" s="1"/>
  <c r="O43" i="4"/>
  <c r="Y149" i="4"/>
  <c r="R149" i="4"/>
  <c r="S149" i="4" s="1"/>
  <c r="T149" i="4"/>
  <c r="X149" i="4"/>
  <c r="Q149" i="4"/>
  <c r="W149" i="4"/>
  <c r="M151" i="4"/>
  <c r="E151" i="4"/>
  <c r="L151" i="4" s="1"/>
  <c r="R42" i="4"/>
  <c r="S42" i="4" s="1"/>
  <c r="T42" i="4"/>
  <c r="X42" i="4"/>
  <c r="Y42" i="4"/>
  <c r="C153" i="4"/>
  <c r="G152" i="4"/>
  <c r="H152" i="4"/>
  <c r="J152" i="4" s="1"/>
  <c r="I152" i="4"/>
  <c r="U41" i="4"/>
  <c r="V41" i="4"/>
  <c r="F41" i="10" l="1"/>
  <c r="K152" i="4"/>
  <c r="M152" i="4"/>
  <c r="E152" i="4"/>
  <c r="L152" i="4" s="1"/>
  <c r="V42" i="4"/>
  <c r="U42" i="4"/>
  <c r="T43" i="4"/>
  <c r="X43" i="4"/>
  <c r="Y43" i="4"/>
  <c r="R43" i="4"/>
  <c r="S43" i="4" s="1"/>
  <c r="Z44" i="4"/>
  <c r="AA44" i="4" s="1"/>
  <c r="O44" i="4"/>
  <c r="P44" i="4"/>
  <c r="C154" i="4"/>
  <c r="G153" i="4"/>
  <c r="H153" i="4"/>
  <c r="J153" i="4" s="1"/>
  <c r="I153" i="4"/>
  <c r="Y150" i="4"/>
  <c r="R150" i="4"/>
  <c r="S150" i="4" s="1"/>
  <c r="T150" i="4"/>
  <c r="X150" i="4"/>
  <c r="G45" i="4"/>
  <c r="L45" i="4"/>
  <c r="E46" i="4"/>
  <c r="Z186" i="4"/>
  <c r="AA186" i="4" s="1"/>
  <c r="Z151" i="4"/>
  <c r="AA151" i="4" s="1"/>
  <c r="O151" i="4"/>
  <c r="Q43" i="4"/>
  <c r="W43" i="4"/>
  <c r="P151" i="4"/>
  <c r="U149" i="4"/>
  <c r="V149" i="4"/>
  <c r="Q150" i="4"/>
  <c r="W150" i="4"/>
  <c r="D188" i="4"/>
  <c r="N187" i="4"/>
  <c r="G187" i="4"/>
  <c r="E187" i="4" s="1"/>
  <c r="L187" i="4" s="1"/>
  <c r="F42" i="10" l="1"/>
  <c r="K153" i="4"/>
  <c r="R44" i="4"/>
  <c r="S44" i="4" s="1"/>
  <c r="T44" i="4"/>
  <c r="X44" i="4"/>
  <c r="Y44" i="4"/>
  <c r="D189" i="4"/>
  <c r="N188" i="4"/>
  <c r="G188" i="4"/>
  <c r="E188" i="4" s="1"/>
  <c r="L188" i="4" s="1"/>
  <c r="Q151" i="4"/>
  <c r="W151" i="4"/>
  <c r="G46" i="4"/>
  <c r="L46" i="4"/>
  <c r="E47" i="4"/>
  <c r="U150" i="4"/>
  <c r="V150" i="4"/>
  <c r="W44" i="4"/>
  <c r="Q44" i="4"/>
  <c r="Y151" i="4"/>
  <c r="R151" i="4"/>
  <c r="S151" i="4" s="1"/>
  <c r="T151" i="4"/>
  <c r="X151" i="4"/>
  <c r="P45" i="4"/>
  <c r="Z45" i="4"/>
  <c r="AA45" i="4" s="1"/>
  <c r="O45" i="4"/>
  <c r="M153" i="4"/>
  <c r="E153" i="4"/>
  <c r="L153" i="4" s="1"/>
  <c r="U43" i="4"/>
  <c r="V43" i="4"/>
  <c r="Z152" i="4"/>
  <c r="AA152" i="4" s="1"/>
  <c r="O152" i="4"/>
  <c r="Z187" i="4"/>
  <c r="AA187" i="4" s="1"/>
  <c r="C155" i="4"/>
  <c r="G154" i="4"/>
  <c r="H154" i="4"/>
  <c r="J154" i="4" s="1"/>
  <c r="I154" i="4"/>
  <c r="P152" i="4"/>
  <c r="F43" i="10" l="1"/>
  <c r="K154" i="4"/>
  <c r="P153" i="4"/>
  <c r="Y153" i="4" s="1"/>
  <c r="Y152" i="4"/>
  <c r="R152" i="4"/>
  <c r="S152" i="4" s="1"/>
  <c r="X152" i="4"/>
  <c r="T152" i="4"/>
  <c r="C156" i="4"/>
  <c r="G155" i="4"/>
  <c r="H155" i="4"/>
  <c r="J155" i="4" s="1"/>
  <c r="I155" i="4"/>
  <c r="G47" i="4"/>
  <c r="L47" i="4"/>
  <c r="E48" i="4"/>
  <c r="Q45" i="4"/>
  <c r="W45" i="4"/>
  <c r="U151" i="4"/>
  <c r="V151" i="4"/>
  <c r="Z46" i="4"/>
  <c r="AA46" i="4" s="1"/>
  <c r="O46" i="4"/>
  <c r="P46" i="4"/>
  <c r="Z188" i="4"/>
  <c r="AA188" i="4" s="1"/>
  <c r="V44" i="4"/>
  <c r="U44" i="4"/>
  <c r="M154" i="4"/>
  <c r="E154" i="4"/>
  <c r="L154" i="4" s="1"/>
  <c r="Q152" i="4"/>
  <c r="W152" i="4"/>
  <c r="Z153" i="4"/>
  <c r="AA153" i="4" s="1"/>
  <c r="O153" i="4"/>
  <c r="T45" i="4"/>
  <c r="X45" i="4"/>
  <c r="Y45" i="4"/>
  <c r="R45" i="4"/>
  <c r="S45" i="4" s="1"/>
  <c r="D190" i="4"/>
  <c r="N189" i="4"/>
  <c r="G189" i="4"/>
  <c r="E189" i="4" s="1"/>
  <c r="L189" i="4" s="1"/>
  <c r="F44" i="10" l="1"/>
  <c r="X153" i="4"/>
  <c r="R153" i="4"/>
  <c r="S153" i="4" s="1"/>
  <c r="K155" i="4"/>
  <c r="Q153" i="4"/>
  <c r="W153" i="4"/>
  <c r="Z154" i="4"/>
  <c r="AA154" i="4" s="1"/>
  <c r="O154" i="4"/>
  <c r="U152" i="4"/>
  <c r="V152" i="4"/>
  <c r="P154" i="4"/>
  <c r="G48" i="4"/>
  <c r="L48" i="4"/>
  <c r="E49" i="4"/>
  <c r="T153" i="4"/>
  <c r="R46" i="4"/>
  <c r="S46" i="4" s="1"/>
  <c r="T46" i="4"/>
  <c r="X46" i="4"/>
  <c r="Y46" i="4"/>
  <c r="P47" i="4"/>
  <c r="Z47" i="4"/>
  <c r="AA47" i="4" s="1"/>
  <c r="O47" i="4"/>
  <c r="E155" i="4"/>
  <c r="L155" i="4" s="1"/>
  <c r="M155" i="4"/>
  <c r="Z189" i="4"/>
  <c r="AA189" i="4" s="1"/>
  <c r="D191" i="4"/>
  <c r="N190" i="4"/>
  <c r="G190" i="4"/>
  <c r="E190" i="4" s="1"/>
  <c r="L190" i="4" s="1"/>
  <c r="U45" i="4"/>
  <c r="V45" i="4"/>
  <c r="W46" i="4"/>
  <c r="Q46" i="4"/>
  <c r="C157" i="4"/>
  <c r="G156" i="4"/>
  <c r="I156" i="4"/>
  <c r="H156" i="4"/>
  <c r="J156" i="4" s="1"/>
  <c r="F45" i="10" l="1"/>
  <c r="K156" i="4"/>
  <c r="P155" i="4"/>
  <c r="T47" i="4"/>
  <c r="X47" i="4"/>
  <c r="Y47" i="4"/>
  <c r="R47" i="4"/>
  <c r="S47" i="4" s="1"/>
  <c r="Q154" i="4"/>
  <c r="W154" i="4"/>
  <c r="E156" i="4"/>
  <c r="L156" i="4" s="1"/>
  <c r="M156" i="4"/>
  <c r="D192" i="4"/>
  <c r="N191" i="4"/>
  <c r="G191" i="4"/>
  <c r="E191" i="4" s="1"/>
  <c r="L191" i="4" s="1"/>
  <c r="Z155" i="4"/>
  <c r="AA155" i="4" s="1"/>
  <c r="O155" i="4"/>
  <c r="U153" i="4"/>
  <c r="V153" i="4"/>
  <c r="R154" i="4"/>
  <c r="S154" i="4" s="1"/>
  <c r="Y154" i="4"/>
  <c r="T154" i="4"/>
  <c r="X154" i="4"/>
  <c r="G157" i="4"/>
  <c r="H157" i="4"/>
  <c r="I157" i="4"/>
  <c r="Q47" i="4"/>
  <c r="W47" i="4"/>
  <c r="G49" i="4"/>
  <c r="L49" i="4"/>
  <c r="E50" i="4"/>
  <c r="Z190" i="4"/>
  <c r="AA190" i="4" s="1"/>
  <c r="V46" i="4"/>
  <c r="U46" i="4"/>
  <c r="Z48" i="4"/>
  <c r="AA48" i="4" s="1"/>
  <c r="O48" i="4"/>
  <c r="P48" i="4"/>
  <c r="F46" i="10" l="1"/>
  <c r="G50" i="4"/>
  <c r="E51" i="4"/>
  <c r="L50" i="4"/>
  <c r="Z191" i="4"/>
  <c r="AA191" i="4" s="1"/>
  <c r="Z156" i="4"/>
  <c r="AA156" i="4" s="1"/>
  <c r="O156" i="4"/>
  <c r="R48" i="4"/>
  <c r="S48" i="4" s="1"/>
  <c r="T48" i="4"/>
  <c r="X48" i="4"/>
  <c r="Y48" i="4"/>
  <c r="P49" i="4"/>
  <c r="Z49" i="4"/>
  <c r="AA49" i="4" s="1"/>
  <c r="O49" i="4"/>
  <c r="K157" i="4"/>
  <c r="I158" i="4"/>
  <c r="I159" i="4"/>
  <c r="I160" i="4"/>
  <c r="I161" i="4"/>
  <c r="I163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162" i="4"/>
  <c r="I164" i="4"/>
  <c r="I210" i="4"/>
  <c r="I214" i="4"/>
  <c r="I216" i="4"/>
  <c r="I209" i="4"/>
  <c r="I213" i="4"/>
  <c r="I217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08" i="4"/>
  <c r="I212" i="4"/>
  <c r="I218" i="4"/>
  <c r="I211" i="4"/>
  <c r="I215" i="4"/>
  <c r="I219" i="4"/>
  <c r="I248" i="4"/>
  <c r="I249" i="4"/>
  <c r="I251" i="4"/>
  <c r="I253" i="4"/>
  <c r="I254" i="4"/>
  <c r="I255" i="4"/>
  <c r="I256" i="4"/>
  <c r="I257" i="4"/>
  <c r="I258" i="4"/>
  <c r="I247" i="4"/>
  <c r="I250" i="4"/>
  <c r="I252" i="4"/>
  <c r="V154" i="4"/>
  <c r="U154" i="4"/>
  <c r="W48" i="4"/>
  <c r="Q48" i="4"/>
  <c r="J157" i="4"/>
  <c r="M157" i="4" s="1"/>
  <c r="H162" i="4"/>
  <c r="J162" i="4" s="1"/>
  <c r="M162" i="4" s="1"/>
  <c r="H164" i="4"/>
  <c r="J164" i="4" s="1"/>
  <c r="M164" i="4" s="1"/>
  <c r="H160" i="4"/>
  <c r="J160" i="4" s="1"/>
  <c r="M160" i="4" s="1"/>
  <c r="H166" i="4"/>
  <c r="J166" i="4" s="1"/>
  <c r="M166" i="4" s="1"/>
  <c r="H168" i="4"/>
  <c r="J168" i="4" s="1"/>
  <c r="M168" i="4" s="1"/>
  <c r="H170" i="4"/>
  <c r="J170" i="4" s="1"/>
  <c r="M170" i="4" s="1"/>
  <c r="H172" i="4"/>
  <c r="J172" i="4" s="1"/>
  <c r="M172" i="4" s="1"/>
  <c r="H174" i="4"/>
  <c r="J174" i="4" s="1"/>
  <c r="M174" i="4" s="1"/>
  <c r="H176" i="4"/>
  <c r="J176" i="4" s="1"/>
  <c r="M176" i="4" s="1"/>
  <c r="H178" i="4"/>
  <c r="J178" i="4" s="1"/>
  <c r="M178" i="4" s="1"/>
  <c r="H180" i="4"/>
  <c r="J180" i="4" s="1"/>
  <c r="M180" i="4" s="1"/>
  <c r="H182" i="4"/>
  <c r="J182" i="4" s="1"/>
  <c r="M182" i="4" s="1"/>
  <c r="H184" i="4"/>
  <c r="J184" i="4" s="1"/>
  <c r="M184" i="4" s="1"/>
  <c r="H186" i="4"/>
  <c r="J186" i="4" s="1"/>
  <c r="M186" i="4" s="1"/>
  <c r="H188" i="4"/>
  <c r="J188" i="4" s="1"/>
  <c r="M188" i="4" s="1"/>
  <c r="H190" i="4"/>
  <c r="J190" i="4" s="1"/>
  <c r="M190" i="4" s="1"/>
  <c r="H192" i="4"/>
  <c r="J192" i="4" s="1"/>
  <c r="H194" i="4"/>
  <c r="J194" i="4" s="1"/>
  <c r="H196" i="4"/>
  <c r="J196" i="4" s="1"/>
  <c r="H198" i="4"/>
  <c r="J198" i="4" s="1"/>
  <c r="H200" i="4"/>
  <c r="J200" i="4" s="1"/>
  <c r="H201" i="4"/>
  <c r="J201" i="4" s="1"/>
  <c r="H161" i="4"/>
  <c r="J161" i="4" s="1"/>
  <c r="M161" i="4" s="1"/>
  <c r="H202" i="4"/>
  <c r="J202" i="4" s="1"/>
  <c r="H204" i="4"/>
  <c r="J204" i="4" s="1"/>
  <c r="H206" i="4"/>
  <c r="J206" i="4" s="1"/>
  <c r="H158" i="4"/>
  <c r="J158" i="4" s="1"/>
  <c r="M158" i="4" s="1"/>
  <c r="H165" i="4"/>
  <c r="J165" i="4" s="1"/>
  <c r="M165" i="4" s="1"/>
  <c r="H167" i="4"/>
  <c r="J167" i="4" s="1"/>
  <c r="M167" i="4" s="1"/>
  <c r="H169" i="4"/>
  <c r="J169" i="4" s="1"/>
  <c r="M169" i="4" s="1"/>
  <c r="H171" i="4"/>
  <c r="J171" i="4" s="1"/>
  <c r="M171" i="4" s="1"/>
  <c r="H173" i="4"/>
  <c r="J173" i="4" s="1"/>
  <c r="M173" i="4" s="1"/>
  <c r="H175" i="4"/>
  <c r="J175" i="4" s="1"/>
  <c r="M175" i="4" s="1"/>
  <c r="H177" i="4"/>
  <c r="J177" i="4" s="1"/>
  <c r="M177" i="4" s="1"/>
  <c r="H179" i="4"/>
  <c r="J179" i="4" s="1"/>
  <c r="M179" i="4" s="1"/>
  <c r="H181" i="4"/>
  <c r="J181" i="4" s="1"/>
  <c r="M181" i="4" s="1"/>
  <c r="H183" i="4"/>
  <c r="J183" i="4" s="1"/>
  <c r="M183" i="4" s="1"/>
  <c r="H185" i="4"/>
  <c r="J185" i="4" s="1"/>
  <c r="M185" i="4" s="1"/>
  <c r="H187" i="4"/>
  <c r="J187" i="4" s="1"/>
  <c r="M187" i="4" s="1"/>
  <c r="H189" i="4"/>
  <c r="J189" i="4" s="1"/>
  <c r="M189" i="4" s="1"/>
  <c r="H191" i="4"/>
  <c r="J191" i="4" s="1"/>
  <c r="M191" i="4" s="1"/>
  <c r="H193" i="4"/>
  <c r="J193" i="4" s="1"/>
  <c r="H195" i="4"/>
  <c r="J195" i="4" s="1"/>
  <c r="H197" i="4"/>
  <c r="J197" i="4" s="1"/>
  <c r="H199" i="4"/>
  <c r="J199" i="4" s="1"/>
  <c r="H208" i="4"/>
  <c r="J208" i="4" s="1"/>
  <c r="H209" i="4"/>
  <c r="J209" i="4" s="1"/>
  <c r="H210" i="4"/>
  <c r="J210" i="4" s="1"/>
  <c r="H211" i="4"/>
  <c r="J211" i="4" s="1"/>
  <c r="H212" i="4"/>
  <c r="J212" i="4" s="1"/>
  <c r="H213" i="4"/>
  <c r="J213" i="4" s="1"/>
  <c r="H214" i="4"/>
  <c r="J214" i="4" s="1"/>
  <c r="H215" i="4"/>
  <c r="J215" i="4" s="1"/>
  <c r="H216" i="4"/>
  <c r="J216" i="4" s="1"/>
  <c r="H217" i="4"/>
  <c r="J217" i="4" s="1"/>
  <c r="H218" i="4"/>
  <c r="J218" i="4" s="1"/>
  <c r="H219" i="4"/>
  <c r="J219" i="4" s="1"/>
  <c r="H220" i="4"/>
  <c r="J220" i="4" s="1"/>
  <c r="H159" i="4"/>
  <c r="J159" i="4" s="1"/>
  <c r="M159" i="4" s="1"/>
  <c r="H163" i="4"/>
  <c r="J163" i="4" s="1"/>
  <c r="M163" i="4" s="1"/>
  <c r="H203" i="4"/>
  <c r="J203" i="4" s="1"/>
  <c r="H205" i="4"/>
  <c r="J205" i="4" s="1"/>
  <c r="H221" i="4"/>
  <c r="J221" i="4" s="1"/>
  <c r="H222" i="4"/>
  <c r="J222" i="4" s="1"/>
  <c r="H223" i="4"/>
  <c r="J223" i="4" s="1"/>
  <c r="H224" i="4"/>
  <c r="J224" i="4" s="1"/>
  <c r="H225" i="4"/>
  <c r="J225" i="4" s="1"/>
  <c r="H226" i="4"/>
  <c r="J226" i="4" s="1"/>
  <c r="H227" i="4"/>
  <c r="J227" i="4" s="1"/>
  <c r="H228" i="4"/>
  <c r="J228" i="4" s="1"/>
  <c r="H229" i="4"/>
  <c r="J229" i="4" s="1"/>
  <c r="H230" i="4"/>
  <c r="J230" i="4" s="1"/>
  <c r="H231" i="4"/>
  <c r="J231" i="4" s="1"/>
  <c r="H232" i="4"/>
  <c r="J232" i="4" s="1"/>
  <c r="H233" i="4"/>
  <c r="J233" i="4" s="1"/>
  <c r="H234" i="4"/>
  <c r="J234" i="4" s="1"/>
  <c r="H235" i="4"/>
  <c r="J235" i="4" s="1"/>
  <c r="H236" i="4"/>
  <c r="J236" i="4" s="1"/>
  <c r="H237" i="4"/>
  <c r="J237" i="4" s="1"/>
  <c r="H238" i="4"/>
  <c r="J238" i="4" s="1"/>
  <c r="H239" i="4"/>
  <c r="J239" i="4" s="1"/>
  <c r="H240" i="4"/>
  <c r="J240" i="4" s="1"/>
  <c r="H241" i="4"/>
  <c r="J241" i="4" s="1"/>
  <c r="H242" i="4"/>
  <c r="J242" i="4" s="1"/>
  <c r="H243" i="4"/>
  <c r="J243" i="4" s="1"/>
  <c r="H244" i="4"/>
  <c r="J244" i="4" s="1"/>
  <c r="H245" i="4"/>
  <c r="J245" i="4" s="1"/>
  <c r="H246" i="4"/>
  <c r="J246" i="4" s="1"/>
  <c r="H247" i="4"/>
  <c r="J247" i="4" s="1"/>
  <c r="H248" i="4"/>
  <c r="J248" i="4" s="1"/>
  <c r="H249" i="4"/>
  <c r="J249" i="4" s="1"/>
  <c r="H207" i="4"/>
  <c r="J207" i="4" s="1"/>
  <c r="H251" i="4"/>
  <c r="J251" i="4" s="1"/>
  <c r="H253" i="4"/>
  <c r="J253" i="4" s="1"/>
  <c r="H254" i="4"/>
  <c r="J254" i="4" s="1"/>
  <c r="H255" i="4"/>
  <c r="J255" i="4" s="1"/>
  <c r="H256" i="4"/>
  <c r="J256" i="4" s="1"/>
  <c r="H257" i="4"/>
  <c r="J257" i="4" s="1"/>
  <c r="H258" i="4"/>
  <c r="H250" i="4"/>
  <c r="J250" i="4" s="1"/>
  <c r="H252" i="4"/>
  <c r="J252" i="4" s="1"/>
  <c r="W155" i="4"/>
  <c r="Q155" i="4"/>
  <c r="D193" i="4"/>
  <c r="N192" i="4"/>
  <c r="G192" i="4"/>
  <c r="E192" i="4" s="1"/>
  <c r="L192" i="4" s="1"/>
  <c r="U47" i="4"/>
  <c r="V47" i="4"/>
  <c r="E157" i="4"/>
  <c r="L157" i="4" s="1"/>
  <c r="P156" i="4"/>
  <c r="R155" i="4"/>
  <c r="S155" i="4" s="1"/>
  <c r="Y155" i="4"/>
  <c r="T155" i="4"/>
  <c r="X155" i="4"/>
  <c r="F47" i="10" l="1"/>
  <c r="P157" i="4"/>
  <c r="Y157" i="4" s="1"/>
  <c r="R156" i="4"/>
  <c r="S156" i="4" s="1"/>
  <c r="Y156" i="4"/>
  <c r="T156" i="4"/>
  <c r="X156" i="4"/>
  <c r="J258" i="4"/>
  <c r="H262" i="4"/>
  <c r="J262" i="4" s="1"/>
  <c r="M262" i="4" s="1"/>
  <c r="H263" i="4"/>
  <c r="J263" i="4" s="1"/>
  <c r="M263" i="4" s="1"/>
  <c r="H264" i="4"/>
  <c r="J264" i="4" s="1"/>
  <c r="M264" i="4" s="1"/>
  <c r="H265" i="4"/>
  <c r="J265" i="4" s="1"/>
  <c r="M265" i="4" s="1"/>
  <c r="H266" i="4"/>
  <c r="J266" i="4" s="1"/>
  <c r="M266" i="4" s="1"/>
  <c r="H267" i="4"/>
  <c r="J267" i="4" s="1"/>
  <c r="M267" i="4" s="1"/>
  <c r="H268" i="4"/>
  <c r="J268" i="4" s="1"/>
  <c r="M268" i="4" s="1"/>
  <c r="H269" i="4"/>
  <c r="J269" i="4" s="1"/>
  <c r="M269" i="4" s="1"/>
  <c r="H270" i="4"/>
  <c r="J270" i="4" s="1"/>
  <c r="M270" i="4" s="1"/>
  <c r="H271" i="4"/>
  <c r="J271" i="4" s="1"/>
  <c r="M271" i="4" s="1"/>
  <c r="H272" i="4"/>
  <c r="J272" i="4" s="1"/>
  <c r="M272" i="4" s="1"/>
  <c r="H273" i="4"/>
  <c r="J273" i="4" s="1"/>
  <c r="M273" i="4" s="1"/>
  <c r="H274" i="4"/>
  <c r="J274" i="4" s="1"/>
  <c r="M274" i="4" s="1"/>
  <c r="H275" i="4"/>
  <c r="J275" i="4" s="1"/>
  <c r="M275" i="4" s="1"/>
  <c r="H277" i="4"/>
  <c r="J277" i="4" s="1"/>
  <c r="M277" i="4" s="1"/>
  <c r="H276" i="4"/>
  <c r="J276" i="4" s="1"/>
  <c r="M276" i="4" s="1"/>
  <c r="O159" i="4"/>
  <c r="O187" i="4"/>
  <c r="O179" i="4"/>
  <c r="O171" i="4"/>
  <c r="O158" i="4"/>
  <c r="O161" i="4"/>
  <c r="O188" i="4"/>
  <c r="O180" i="4"/>
  <c r="O172" i="4"/>
  <c r="O160" i="4"/>
  <c r="K252" i="4"/>
  <c r="K257" i="4"/>
  <c r="K253" i="4"/>
  <c r="K219" i="4"/>
  <c r="K212" i="4"/>
  <c r="K244" i="4"/>
  <c r="K240" i="4"/>
  <c r="K236" i="4"/>
  <c r="K232" i="4"/>
  <c r="K228" i="4"/>
  <c r="K224" i="4"/>
  <c r="K220" i="4"/>
  <c r="K216" i="4"/>
  <c r="K162" i="4"/>
  <c r="P162" i="4" s="1"/>
  <c r="K204" i="4"/>
  <c r="K200" i="4"/>
  <c r="K196" i="4"/>
  <c r="K192" i="4"/>
  <c r="K188" i="4"/>
  <c r="P188" i="4" s="1"/>
  <c r="K184" i="4"/>
  <c r="P184" i="4" s="1"/>
  <c r="K180" i="4"/>
  <c r="P180" i="4" s="1"/>
  <c r="K176" i="4"/>
  <c r="P176" i="4" s="1"/>
  <c r="K172" i="4"/>
  <c r="P172" i="4" s="1"/>
  <c r="K168" i="4"/>
  <c r="P168" i="4" s="1"/>
  <c r="K163" i="4"/>
  <c r="P163" i="4" s="1"/>
  <c r="K158" i="4"/>
  <c r="P158" i="4" s="1"/>
  <c r="T49" i="4"/>
  <c r="X49" i="4"/>
  <c r="Y49" i="4"/>
  <c r="R49" i="4"/>
  <c r="S49" i="4" s="1"/>
  <c r="Z192" i="4"/>
  <c r="AA192" i="4" s="1"/>
  <c r="O185" i="4"/>
  <c r="O177" i="4"/>
  <c r="O169" i="4"/>
  <c r="O186" i="4"/>
  <c r="O178" i="4"/>
  <c r="O170" i="4"/>
  <c r="O164" i="4"/>
  <c r="K250" i="4"/>
  <c r="K256" i="4"/>
  <c r="K251" i="4"/>
  <c r="K215" i="4"/>
  <c r="K208" i="4"/>
  <c r="K243" i="4"/>
  <c r="K239" i="4"/>
  <c r="K235" i="4"/>
  <c r="K231" i="4"/>
  <c r="K227" i="4"/>
  <c r="K223" i="4"/>
  <c r="K217" i="4"/>
  <c r="K214" i="4"/>
  <c r="K207" i="4"/>
  <c r="K203" i="4"/>
  <c r="K199" i="4"/>
  <c r="K195" i="4"/>
  <c r="K191" i="4"/>
  <c r="P191" i="4" s="1"/>
  <c r="K187" i="4"/>
  <c r="P187" i="4" s="1"/>
  <c r="K183" i="4"/>
  <c r="P183" i="4" s="1"/>
  <c r="K179" i="4"/>
  <c r="P179" i="4" s="1"/>
  <c r="K175" i="4"/>
  <c r="P175" i="4" s="1"/>
  <c r="K171" i="4"/>
  <c r="P171" i="4" s="1"/>
  <c r="K167" i="4"/>
  <c r="P167" i="4" s="1"/>
  <c r="K161" i="4"/>
  <c r="P161" i="4" s="1"/>
  <c r="W156" i="4"/>
  <c r="Q156" i="4"/>
  <c r="Z50" i="4"/>
  <c r="AA50" i="4" s="1"/>
  <c r="O50" i="4"/>
  <c r="P50" i="4"/>
  <c r="Z157" i="4"/>
  <c r="AA157" i="4" s="1"/>
  <c r="O157" i="4"/>
  <c r="O183" i="4"/>
  <c r="O175" i="4"/>
  <c r="O167" i="4"/>
  <c r="M192" i="4"/>
  <c r="P192" i="4" s="1"/>
  <c r="O184" i="4"/>
  <c r="O176" i="4"/>
  <c r="O168" i="4"/>
  <c r="O162" i="4"/>
  <c r="K247" i="4"/>
  <c r="K255" i="4"/>
  <c r="K249" i="4"/>
  <c r="K211" i="4"/>
  <c r="K246" i="4"/>
  <c r="K242" i="4"/>
  <c r="K238" i="4"/>
  <c r="K234" i="4"/>
  <c r="K230" i="4"/>
  <c r="K226" i="4"/>
  <c r="K222" i="4"/>
  <c r="K213" i="4"/>
  <c r="K210" i="4"/>
  <c r="K206" i="4"/>
  <c r="K202" i="4"/>
  <c r="K198" i="4"/>
  <c r="K194" i="4"/>
  <c r="K190" i="4"/>
  <c r="P190" i="4" s="1"/>
  <c r="K186" i="4"/>
  <c r="P186" i="4" s="1"/>
  <c r="K182" i="4"/>
  <c r="P182" i="4" s="1"/>
  <c r="K178" i="4"/>
  <c r="P178" i="4" s="1"/>
  <c r="K174" i="4"/>
  <c r="P174" i="4" s="1"/>
  <c r="K170" i="4"/>
  <c r="P170" i="4" s="1"/>
  <c r="K166" i="4"/>
  <c r="P166" i="4" s="1"/>
  <c r="K160" i="4"/>
  <c r="P160" i="4" s="1"/>
  <c r="Q49" i="4"/>
  <c r="W49" i="4"/>
  <c r="G51" i="4"/>
  <c r="L51" i="4"/>
  <c r="E52" i="4"/>
  <c r="V155" i="4"/>
  <c r="U155" i="4"/>
  <c r="D194" i="4"/>
  <c r="N193" i="4"/>
  <c r="G193" i="4"/>
  <c r="E193" i="4" s="1"/>
  <c r="L193" i="4" s="1"/>
  <c r="O163" i="4"/>
  <c r="O189" i="4"/>
  <c r="O181" i="4"/>
  <c r="O173" i="4"/>
  <c r="O165" i="4"/>
  <c r="O190" i="4"/>
  <c r="O182" i="4"/>
  <c r="O174" i="4"/>
  <c r="O166" i="4"/>
  <c r="K258" i="4"/>
  <c r="I263" i="4"/>
  <c r="I264" i="4"/>
  <c r="I265" i="4"/>
  <c r="K265" i="4" s="1"/>
  <c r="I266" i="4"/>
  <c r="I267" i="4"/>
  <c r="I268" i="4"/>
  <c r="I269" i="4"/>
  <c r="K269" i="4" s="1"/>
  <c r="I270" i="4"/>
  <c r="I271" i="4"/>
  <c r="I272" i="4"/>
  <c r="I273" i="4"/>
  <c r="K273" i="4" s="1"/>
  <c r="I274" i="4"/>
  <c r="I275" i="4"/>
  <c r="I277" i="4"/>
  <c r="I276" i="4"/>
  <c r="K276" i="4" s="1"/>
  <c r="K254" i="4"/>
  <c r="K248" i="4"/>
  <c r="K218" i="4"/>
  <c r="K245" i="4"/>
  <c r="K241" i="4"/>
  <c r="K237" i="4"/>
  <c r="K233" i="4"/>
  <c r="K229" i="4"/>
  <c r="K225" i="4"/>
  <c r="K221" i="4"/>
  <c r="K209" i="4"/>
  <c r="K164" i="4"/>
  <c r="P164" i="4" s="1"/>
  <c r="K205" i="4"/>
  <c r="K201" i="4"/>
  <c r="K197" i="4"/>
  <c r="K193" i="4"/>
  <c r="K189" i="4"/>
  <c r="P189" i="4" s="1"/>
  <c r="K185" i="4"/>
  <c r="P185" i="4" s="1"/>
  <c r="K181" i="4"/>
  <c r="P181" i="4" s="1"/>
  <c r="K177" i="4"/>
  <c r="P177" i="4" s="1"/>
  <c r="K173" i="4"/>
  <c r="P173" i="4" s="1"/>
  <c r="K169" i="4"/>
  <c r="P169" i="4" s="1"/>
  <c r="K165" i="4"/>
  <c r="P165" i="4" s="1"/>
  <c r="K159" i="4"/>
  <c r="P159" i="4" s="1"/>
  <c r="V48" i="4"/>
  <c r="U48" i="4"/>
  <c r="O191" i="4"/>
  <c r="F48" i="10" l="1"/>
  <c r="X157" i="4"/>
  <c r="R157" i="4"/>
  <c r="S157" i="4" s="1"/>
  <c r="K266" i="4"/>
  <c r="P266" i="4" s="1"/>
  <c r="K270" i="4"/>
  <c r="P270" i="4" s="1"/>
  <c r="K272" i="4"/>
  <c r="K264" i="4"/>
  <c r="T157" i="4"/>
  <c r="U157" i="4" s="1"/>
  <c r="K277" i="4"/>
  <c r="P277" i="4" s="1"/>
  <c r="K268" i="4"/>
  <c r="K274" i="4"/>
  <c r="P274" i="4" s="1"/>
  <c r="K275" i="4"/>
  <c r="P275" i="4" s="1"/>
  <c r="K271" i="4"/>
  <c r="P271" i="4" s="1"/>
  <c r="K267" i="4"/>
  <c r="P267" i="4" s="1"/>
  <c r="K263" i="4"/>
  <c r="P263" i="4" s="1"/>
  <c r="Y169" i="4"/>
  <c r="R169" i="4"/>
  <c r="S169" i="4" s="1"/>
  <c r="T169" i="4"/>
  <c r="X169" i="4"/>
  <c r="Y185" i="4"/>
  <c r="R185" i="4"/>
  <c r="S185" i="4" s="1"/>
  <c r="T185" i="4"/>
  <c r="X185" i="4"/>
  <c r="Y171" i="4"/>
  <c r="R171" i="4"/>
  <c r="S171" i="4" s="1"/>
  <c r="T171" i="4"/>
  <c r="X171" i="4"/>
  <c r="Y187" i="4"/>
  <c r="R187" i="4"/>
  <c r="S187" i="4" s="1"/>
  <c r="T187" i="4"/>
  <c r="X187" i="4"/>
  <c r="Y180" i="4"/>
  <c r="R180" i="4"/>
  <c r="S180" i="4" s="1"/>
  <c r="X180" i="4"/>
  <c r="T180" i="4"/>
  <c r="Y173" i="4"/>
  <c r="R173" i="4"/>
  <c r="S173" i="4" s="1"/>
  <c r="T173" i="4"/>
  <c r="X173" i="4"/>
  <c r="Y189" i="4"/>
  <c r="R189" i="4"/>
  <c r="S189" i="4" s="1"/>
  <c r="T189" i="4"/>
  <c r="X189" i="4"/>
  <c r="Y170" i="4"/>
  <c r="R170" i="4"/>
  <c r="S170" i="4" s="1"/>
  <c r="X170" i="4"/>
  <c r="T170" i="4"/>
  <c r="Y186" i="4"/>
  <c r="R186" i="4"/>
  <c r="S186" i="4" s="1"/>
  <c r="X186" i="4"/>
  <c r="T186" i="4"/>
  <c r="Y175" i="4"/>
  <c r="R175" i="4"/>
  <c r="S175" i="4" s="1"/>
  <c r="T175" i="4"/>
  <c r="X175" i="4"/>
  <c r="R159" i="4"/>
  <c r="S159" i="4" s="1"/>
  <c r="Y159" i="4"/>
  <c r="T159" i="4"/>
  <c r="X159" i="4"/>
  <c r="Y177" i="4"/>
  <c r="R177" i="4"/>
  <c r="S177" i="4" s="1"/>
  <c r="T177" i="4"/>
  <c r="X177" i="4"/>
  <c r="R164" i="4"/>
  <c r="S164" i="4" s="1"/>
  <c r="X164" i="4"/>
  <c r="T164" i="4"/>
  <c r="Y164" i="4"/>
  <c r="R161" i="4"/>
  <c r="S161" i="4" s="1"/>
  <c r="Y161" i="4"/>
  <c r="T161" i="4"/>
  <c r="X161" i="4"/>
  <c r="Y179" i="4"/>
  <c r="R179" i="4"/>
  <c r="S179" i="4" s="1"/>
  <c r="T179" i="4"/>
  <c r="X179" i="4"/>
  <c r="Y172" i="4"/>
  <c r="R172" i="4"/>
  <c r="S172" i="4" s="1"/>
  <c r="X172" i="4"/>
  <c r="T172" i="4"/>
  <c r="Y188" i="4"/>
  <c r="R188" i="4"/>
  <c r="S188" i="4" s="1"/>
  <c r="X188" i="4"/>
  <c r="T188" i="4"/>
  <c r="Y165" i="4"/>
  <c r="R165" i="4"/>
  <c r="S165" i="4" s="1"/>
  <c r="T165" i="4"/>
  <c r="X165" i="4"/>
  <c r="Y181" i="4"/>
  <c r="R181" i="4"/>
  <c r="S181" i="4" s="1"/>
  <c r="T181" i="4"/>
  <c r="X181" i="4"/>
  <c r="R160" i="4"/>
  <c r="S160" i="4" s="1"/>
  <c r="Y160" i="4"/>
  <c r="T160" i="4"/>
  <c r="X160" i="4"/>
  <c r="Y178" i="4"/>
  <c r="R178" i="4"/>
  <c r="S178" i="4" s="1"/>
  <c r="X178" i="4"/>
  <c r="T178" i="4"/>
  <c r="R158" i="4"/>
  <c r="S158" i="4" s="1"/>
  <c r="Y158" i="4"/>
  <c r="T158" i="4"/>
  <c r="X158" i="4"/>
  <c r="Y166" i="4"/>
  <c r="R166" i="4"/>
  <c r="S166" i="4" s="1"/>
  <c r="X166" i="4"/>
  <c r="T166" i="4"/>
  <c r="Y182" i="4"/>
  <c r="R182" i="4"/>
  <c r="S182" i="4" s="1"/>
  <c r="X182" i="4"/>
  <c r="T182" i="4"/>
  <c r="R162" i="4"/>
  <c r="S162" i="4" s="1"/>
  <c r="X162" i="4"/>
  <c r="T162" i="4"/>
  <c r="Y162" i="4"/>
  <c r="Y176" i="4"/>
  <c r="R176" i="4"/>
  <c r="S176" i="4" s="1"/>
  <c r="X176" i="4"/>
  <c r="T176" i="4"/>
  <c r="Q175" i="4"/>
  <c r="W175" i="4"/>
  <c r="Y191" i="4"/>
  <c r="R191" i="4"/>
  <c r="S191" i="4" s="1"/>
  <c r="T191" i="4"/>
  <c r="X191" i="4"/>
  <c r="W50" i="4"/>
  <c r="Q50" i="4"/>
  <c r="Q169" i="4"/>
  <c r="W169" i="4"/>
  <c r="Q185" i="4"/>
  <c r="W185" i="4"/>
  <c r="W158" i="4"/>
  <c r="Q158" i="4"/>
  <c r="Q179" i="4"/>
  <c r="W179" i="4"/>
  <c r="W159" i="4"/>
  <c r="Q159" i="4"/>
  <c r="O277" i="4"/>
  <c r="P272" i="4"/>
  <c r="O272" i="4"/>
  <c r="P268" i="4"/>
  <c r="O268" i="4"/>
  <c r="P264" i="4"/>
  <c r="O264" i="4"/>
  <c r="Q191" i="4"/>
  <c r="W191" i="4"/>
  <c r="Q174" i="4"/>
  <c r="W174" i="4"/>
  <c r="Q190" i="4"/>
  <c r="W190" i="4"/>
  <c r="Q165" i="4"/>
  <c r="W165" i="4"/>
  <c r="Q181" i="4"/>
  <c r="W181" i="4"/>
  <c r="W163" i="4"/>
  <c r="Q163" i="4"/>
  <c r="Z193" i="4"/>
  <c r="AA193" i="4" s="1"/>
  <c r="G52" i="4"/>
  <c r="L52" i="4"/>
  <c r="E53" i="4"/>
  <c r="Q168" i="4"/>
  <c r="W168" i="4"/>
  <c r="Q184" i="4"/>
  <c r="W184" i="4"/>
  <c r="W157" i="4"/>
  <c r="Q157" i="4"/>
  <c r="W164" i="4"/>
  <c r="Q164" i="4"/>
  <c r="Q178" i="4"/>
  <c r="W178" i="4"/>
  <c r="O192" i="4"/>
  <c r="T192" i="4" s="1"/>
  <c r="W160" i="4"/>
  <c r="Q160" i="4"/>
  <c r="Q180" i="4"/>
  <c r="W180" i="4"/>
  <c r="O275" i="4"/>
  <c r="O271" i="4"/>
  <c r="O267" i="4"/>
  <c r="O263" i="4"/>
  <c r="V156" i="4"/>
  <c r="U156" i="4"/>
  <c r="Y174" i="4"/>
  <c r="R174" i="4"/>
  <c r="S174" i="4" s="1"/>
  <c r="X174" i="4"/>
  <c r="T174" i="4"/>
  <c r="Y190" i="4"/>
  <c r="R190" i="4"/>
  <c r="S190" i="4" s="1"/>
  <c r="X190" i="4"/>
  <c r="T190" i="4"/>
  <c r="T163" i="4"/>
  <c r="Y163" i="4"/>
  <c r="R163" i="4"/>
  <c r="S163" i="4" s="1"/>
  <c r="X163" i="4"/>
  <c r="P51" i="4"/>
  <c r="Z51" i="4"/>
  <c r="AA51" i="4" s="1"/>
  <c r="O51" i="4"/>
  <c r="Y168" i="4"/>
  <c r="R168" i="4"/>
  <c r="S168" i="4" s="1"/>
  <c r="X168" i="4"/>
  <c r="T168" i="4"/>
  <c r="Y184" i="4"/>
  <c r="R184" i="4"/>
  <c r="S184" i="4" s="1"/>
  <c r="X184" i="4"/>
  <c r="T184" i="4"/>
  <c r="Q167" i="4"/>
  <c r="W167" i="4"/>
  <c r="Q183" i="4"/>
  <c r="W183" i="4"/>
  <c r="Q177" i="4"/>
  <c r="W177" i="4"/>
  <c r="M193" i="4"/>
  <c r="P193" i="4" s="1"/>
  <c r="U49" i="4"/>
  <c r="V49" i="4"/>
  <c r="W161" i="4"/>
  <c r="Q161" i="4"/>
  <c r="Q171" i="4"/>
  <c r="W171" i="4"/>
  <c r="Q187" i="4"/>
  <c r="W187" i="4"/>
  <c r="O274" i="4"/>
  <c r="O270" i="4"/>
  <c r="O266" i="4"/>
  <c r="O262" i="4"/>
  <c r="Q166" i="4"/>
  <c r="W166" i="4"/>
  <c r="Q182" i="4"/>
  <c r="W182" i="4"/>
  <c r="Q173" i="4"/>
  <c r="W173" i="4"/>
  <c r="Q189" i="4"/>
  <c r="W189" i="4"/>
  <c r="D195" i="4"/>
  <c r="N194" i="4"/>
  <c r="G194" i="4"/>
  <c r="W162" i="4"/>
  <c r="Q162" i="4"/>
  <c r="Q176" i="4"/>
  <c r="W176" i="4"/>
  <c r="Y192" i="4"/>
  <c r="R192" i="4"/>
  <c r="S192" i="4" s="1"/>
  <c r="X192" i="4"/>
  <c r="Y167" i="4"/>
  <c r="R167" i="4"/>
  <c r="S167" i="4" s="1"/>
  <c r="T167" i="4"/>
  <c r="X167" i="4"/>
  <c r="Y183" i="4"/>
  <c r="R183" i="4"/>
  <c r="S183" i="4" s="1"/>
  <c r="T183" i="4"/>
  <c r="X183" i="4"/>
  <c r="R50" i="4"/>
  <c r="S50" i="4" s="1"/>
  <c r="T50" i="4"/>
  <c r="X50" i="4"/>
  <c r="Y50" i="4"/>
  <c r="Q170" i="4"/>
  <c r="W170" i="4"/>
  <c r="Q186" i="4"/>
  <c r="W186" i="4"/>
  <c r="Q172" i="4"/>
  <c r="W172" i="4"/>
  <c r="Q188" i="4"/>
  <c r="W188" i="4"/>
  <c r="P276" i="4"/>
  <c r="O276" i="4"/>
  <c r="P273" i="4"/>
  <c r="O273" i="4"/>
  <c r="P269" i="4"/>
  <c r="O269" i="4"/>
  <c r="P265" i="4"/>
  <c r="O265" i="4"/>
  <c r="V157" i="4" l="1"/>
  <c r="F49" i="10"/>
  <c r="Y265" i="4"/>
  <c r="R265" i="4"/>
  <c r="S265" i="4" s="1"/>
  <c r="T265" i="4"/>
  <c r="X265" i="4"/>
  <c r="W276" i="4"/>
  <c r="Q276" i="4"/>
  <c r="R276" i="4"/>
  <c r="S276" i="4" s="1"/>
  <c r="T276" i="4"/>
  <c r="X276" i="4"/>
  <c r="Y276" i="4"/>
  <c r="Q262" i="4"/>
  <c r="W262" i="4"/>
  <c r="Q270" i="4"/>
  <c r="W270" i="4"/>
  <c r="Y193" i="4"/>
  <c r="R193" i="4"/>
  <c r="S193" i="4" s="1"/>
  <c r="X193" i="4"/>
  <c r="W263" i="4"/>
  <c r="Q263" i="4"/>
  <c r="W271" i="4"/>
  <c r="Q271" i="4"/>
  <c r="Q192" i="4"/>
  <c r="W192" i="4"/>
  <c r="O52" i="4"/>
  <c r="P52" i="4"/>
  <c r="Z52" i="4"/>
  <c r="AA52" i="4" s="1"/>
  <c r="W264" i="4"/>
  <c r="Q264" i="4"/>
  <c r="W272" i="4"/>
  <c r="Q272" i="4"/>
  <c r="U182" i="4"/>
  <c r="V182" i="4"/>
  <c r="U166" i="4"/>
  <c r="V166" i="4"/>
  <c r="U178" i="4"/>
  <c r="V178" i="4"/>
  <c r="U188" i="4"/>
  <c r="V188" i="4"/>
  <c r="U172" i="4"/>
  <c r="V172" i="4"/>
  <c r="U186" i="4"/>
  <c r="V186" i="4"/>
  <c r="U170" i="4"/>
  <c r="V170" i="4"/>
  <c r="U180" i="4"/>
  <c r="V180" i="4"/>
  <c r="V50" i="4"/>
  <c r="U50" i="4"/>
  <c r="Y269" i="4"/>
  <c r="R269" i="4"/>
  <c r="S269" i="4" s="1"/>
  <c r="T269" i="4"/>
  <c r="X269" i="4"/>
  <c r="Q265" i="4"/>
  <c r="W265" i="4"/>
  <c r="Q273" i="4"/>
  <c r="W273" i="4"/>
  <c r="U192" i="4"/>
  <c r="V192" i="4"/>
  <c r="E194" i="4"/>
  <c r="L194" i="4" s="1"/>
  <c r="M194" i="4"/>
  <c r="T270" i="4"/>
  <c r="X270" i="4"/>
  <c r="Y270" i="4"/>
  <c r="R270" i="4"/>
  <c r="S270" i="4" s="1"/>
  <c r="T51" i="4"/>
  <c r="Y51" i="4"/>
  <c r="R51" i="4"/>
  <c r="S51" i="4" s="1"/>
  <c r="X51" i="4"/>
  <c r="U163" i="4"/>
  <c r="V163" i="4"/>
  <c r="T263" i="4"/>
  <c r="X263" i="4"/>
  <c r="Y263" i="4"/>
  <c r="R263" i="4"/>
  <c r="S263" i="4" s="1"/>
  <c r="T271" i="4"/>
  <c r="X271" i="4"/>
  <c r="Y271" i="4"/>
  <c r="R271" i="4"/>
  <c r="S271" i="4" s="1"/>
  <c r="R264" i="4"/>
  <c r="S264" i="4" s="1"/>
  <c r="T264" i="4"/>
  <c r="X264" i="4"/>
  <c r="Y264" i="4"/>
  <c r="R272" i="4"/>
  <c r="S272" i="4" s="1"/>
  <c r="T272" i="4"/>
  <c r="X272" i="4"/>
  <c r="Y272" i="4"/>
  <c r="U191" i="4"/>
  <c r="V191" i="4"/>
  <c r="V158" i="4"/>
  <c r="U158" i="4"/>
  <c r="V160" i="4"/>
  <c r="U160" i="4"/>
  <c r="U181" i="4"/>
  <c r="V181" i="4"/>
  <c r="U165" i="4"/>
  <c r="V165" i="4"/>
  <c r="U179" i="4"/>
  <c r="V179" i="4"/>
  <c r="V161" i="4"/>
  <c r="U161" i="4"/>
  <c r="V164" i="4"/>
  <c r="U164" i="4"/>
  <c r="U177" i="4"/>
  <c r="V177" i="4"/>
  <c r="V159" i="4"/>
  <c r="U159" i="4"/>
  <c r="U175" i="4"/>
  <c r="V175" i="4"/>
  <c r="U189" i="4"/>
  <c r="V189" i="4"/>
  <c r="U173" i="4"/>
  <c r="V173" i="4"/>
  <c r="U187" i="4"/>
  <c r="V187" i="4"/>
  <c r="U171" i="4"/>
  <c r="V171" i="4"/>
  <c r="U185" i="4"/>
  <c r="V185" i="4"/>
  <c r="U169" i="4"/>
  <c r="V169" i="4"/>
  <c r="Y273" i="4"/>
  <c r="R273" i="4"/>
  <c r="S273" i="4" s="1"/>
  <c r="T273" i="4"/>
  <c r="X273" i="4"/>
  <c r="U183" i="4"/>
  <c r="V183" i="4"/>
  <c r="U167" i="4"/>
  <c r="V167" i="4"/>
  <c r="Q266" i="4"/>
  <c r="W266" i="4"/>
  <c r="Q274" i="4"/>
  <c r="W274" i="4"/>
  <c r="U190" i="4"/>
  <c r="V190" i="4"/>
  <c r="U174" i="4"/>
  <c r="V174" i="4"/>
  <c r="W267" i="4"/>
  <c r="Q267" i="4"/>
  <c r="W275" i="4"/>
  <c r="Q275" i="4"/>
  <c r="O193" i="4"/>
  <c r="W268" i="4"/>
  <c r="Q268" i="4"/>
  <c r="Q277" i="4"/>
  <c r="W277" i="4"/>
  <c r="U176" i="4"/>
  <c r="V176" i="4"/>
  <c r="Q269" i="4"/>
  <c r="W269" i="4"/>
  <c r="D196" i="4"/>
  <c r="N195" i="4"/>
  <c r="G195" i="4"/>
  <c r="T266" i="4"/>
  <c r="X266" i="4"/>
  <c r="Y266" i="4"/>
  <c r="R266" i="4"/>
  <c r="S266" i="4" s="1"/>
  <c r="T274" i="4"/>
  <c r="X274" i="4"/>
  <c r="Y274" i="4"/>
  <c r="R274" i="4"/>
  <c r="S274" i="4" s="1"/>
  <c r="U184" i="4"/>
  <c r="V184" i="4"/>
  <c r="U168" i="4"/>
  <c r="V168" i="4"/>
  <c r="Q51" i="4"/>
  <c r="W51" i="4"/>
  <c r="T267" i="4"/>
  <c r="X267" i="4"/>
  <c r="Y267" i="4"/>
  <c r="R267" i="4"/>
  <c r="S267" i="4" s="1"/>
  <c r="X275" i="4"/>
  <c r="R275" i="4"/>
  <c r="S275" i="4" s="1"/>
  <c r="T275" i="4"/>
  <c r="Y275" i="4"/>
  <c r="G53" i="4"/>
  <c r="L53" i="4"/>
  <c r="E54" i="4"/>
  <c r="R268" i="4"/>
  <c r="S268" i="4" s="1"/>
  <c r="T268" i="4"/>
  <c r="X268" i="4"/>
  <c r="Y268" i="4"/>
  <c r="Y277" i="4"/>
  <c r="T277" i="4"/>
  <c r="R277" i="4"/>
  <c r="S277" i="4" s="1"/>
  <c r="X277" i="4"/>
  <c r="V162" i="4"/>
  <c r="U162" i="4"/>
  <c r="F50" i="10" l="1"/>
  <c r="P194" i="4"/>
  <c r="X194" i="4" s="1"/>
  <c r="U277" i="4"/>
  <c r="V277" i="4"/>
  <c r="V268" i="4"/>
  <c r="U268" i="4"/>
  <c r="U267" i="4"/>
  <c r="V267" i="4"/>
  <c r="U273" i="4"/>
  <c r="V273" i="4"/>
  <c r="U271" i="4"/>
  <c r="V271" i="4"/>
  <c r="U263" i="4"/>
  <c r="V263" i="4"/>
  <c r="Z194" i="4"/>
  <c r="AA194" i="4" s="1"/>
  <c r="O194" i="4"/>
  <c r="U269" i="4"/>
  <c r="V269" i="4"/>
  <c r="V276" i="4"/>
  <c r="U276" i="4"/>
  <c r="D197" i="4"/>
  <c r="N196" i="4"/>
  <c r="G196" i="4"/>
  <c r="U265" i="4"/>
  <c r="V265" i="4"/>
  <c r="G54" i="4"/>
  <c r="L54" i="4"/>
  <c r="E55" i="4"/>
  <c r="U275" i="4"/>
  <c r="V275" i="4"/>
  <c r="U274" i="4"/>
  <c r="V274" i="4"/>
  <c r="U266" i="4"/>
  <c r="V266" i="4"/>
  <c r="Q193" i="4"/>
  <c r="W193" i="4"/>
  <c r="U51" i="4"/>
  <c r="V51" i="4"/>
  <c r="U270" i="4"/>
  <c r="V270" i="4"/>
  <c r="T52" i="4"/>
  <c r="X52" i="4"/>
  <c r="Y52" i="4"/>
  <c r="R52" i="4"/>
  <c r="S52" i="4" s="1"/>
  <c r="Z53" i="4"/>
  <c r="AA53" i="4" s="1"/>
  <c r="O53" i="4"/>
  <c r="P53" i="4"/>
  <c r="E195" i="4"/>
  <c r="L195" i="4" s="1"/>
  <c r="M195" i="4"/>
  <c r="V272" i="4"/>
  <c r="U272" i="4"/>
  <c r="V264" i="4"/>
  <c r="U264" i="4"/>
  <c r="Q52" i="4"/>
  <c r="W52" i="4"/>
  <c r="T193" i="4"/>
  <c r="F51" i="10" l="1"/>
  <c r="Y194" i="4"/>
  <c r="R194" i="4"/>
  <c r="S194" i="4" s="1"/>
  <c r="T194" i="4"/>
  <c r="U194" i="4" s="1"/>
  <c r="Z195" i="4"/>
  <c r="AA195" i="4" s="1"/>
  <c r="O195" i="4"/>
  <c r="U193" i="4"/>
  <c r="V193" i="4"/>
  <c r="R53" i="4"/>
  <c r="S53" i="4" s="1"/>
  <c r="T53" i="4"/>
  <c r="Y53" i="4"/>
  <c r="X53" i="4"/>
  <c r="D198" i="4"/>
  <c r="N197" i="4"/>
  <c r="G197" i="4"/>
  <c r="Q53" i="4"/>
  <c r="W53" i="4"/>
  <c r="E56" i="4"/>
  <c r="G55" i="4"/>
  <c r="L55" i="4"/>
  <c r="Q194" i="4"/>
  <c r="W194" i="4"/>
  <c r="P195" i="4"/>
  <c r="U52" i="4"/>
  <c r="V52" i="4"/>
  <c r="P54" i="4"/>
  <c r="O54" i="4"/>
  <c r="Z54" i="4"/>
  <c r="AA54" i="4" s="1"/>
  <c r="E196" i="4"/>
  <c r="L196" i="4" s="1"/>
  <c r="M196" i="4"/>
  <c r="F52" i="10" l="1"/>
  <c r="V194" i="4"/>
  <c r="P196" i="4"/>
  <c r="T54" i="4"/>
  <c r="X54" i="4"/>
  <c r="R54" i="4"/>
  <c r="S54" i="4" s="1"/>
  <c r="Y54" i="4"/>
  <c r="Z55" i="4"/>
  <c r="AA55" i="4" s="1"/>
  <c r="O55" i="4"/>
  <c r="P55" i="4"/>
  <c r="Z196" i="4"/>
  <c r="AA196" i="4" s="1"/>
  <c r="O196" i="4"/>
  <c r="E197" i="4"/>
  <c r="L197" i="4" s="1"/>
  <c r="M197" i="4"/>
  <c r="G56" i="4"/>
  <c r="L56" i="4"/>
  <c r="E57" i="4"/>
  <c r="V53" i="4"/>
  <c r="U53" i="4"/>
  <c r="Q195" i="4"/>
  <c r="W195" i="4"/>
  <c r="W54" i="4"/>
  <c r="Q54" i="4"/>
  <c r="Y195" i="4"/>
  <c r="R195" i="4"/>
  <c r="S195" i="4" s="1"/>
  <c r="T195" i="4"/>
  <c r="X195" i="4"/>
  <c r="D199" i="4"/>
  <c r="N198" i="4"/>
  <c r="G198" i="4"/>
  <c r="F53" i="10" l="1"/>
  <c r="P197" i="4"/>
  <c r="Y197" i="4" s="1"/>
  <c r="E198" i="4"/>
  <c r="L198" i="4" s="1"/>
  <c r="M198" i="4"/>
  <c r="U195" i="4"/>
  <c r="V195" i="4"/>
  <c r="R55" i="4"/>
  <c r="S55" i="4" s="1"/>
  <c r="X55" i="4"/>
  <c r="T55" i="4"/>
  <c r="Y55" i="4"/>
  <c r="L57" i="4"/>
  <c r="E58" i="4"/>
  <c r="G57" i="4"/>
  <c r="Z197" i="4"/>
  <c r="AA197" i="4" s="1"/>
  <c r="O197" i="4"/>
  <c r="Q55" i="4"/>
  <c r="W55" i="4"/>
  <c r="D200" i="4"/>
  <c r="N199" i="4"/>
  <c r="G199" i="4"/>
  <c r="P56" i="4"/>
  <c r="O56" i="4"/>
  <c r="Z56" i="4"/>
  <c r="AA56" i="4" s="1"/>
  <c r="Q196" i="4"/>
  <c r="W196" i="4"/>
  <c r="U54" i="4"/>
  <c r="V54" i="4"/>
  <c r="Y196" i="4"/>
  <c r="R196" i="4"/>
  <c r="S196" i="4" s="1"/>
  <c r="X196" i="4"/>
  <c r="T196" i="4"/>
  <c r="F54" i="10" l="1"/>
  <c r="T197" i="4"/>
  <c r="V197" i="4" s="1"/>
  <c r="X197" i="4"/>
  <c r="R197" i="4"/>
  <c r="S197" i="4" s="1"/>
  <c r="P198" i="4"/>
  <c r="X198" i="4" s="1"/>
  <c r="U197" i="4"/>
  <c r="Q56" i="4"/>
  <c r="W56" i="4"/>
  <c r="D201" i="4"/>
  <c r="N200" i="4"/>
  <c r="G200" i="4"/>
  <c r="T56" i="4"/>
  <c r="X56" i="4"/>
  <c r="R56" i="4"/>
  <c r="S56" i="4" s="1"/>
  <c r="Y56" i="4"/>
  <c r="V55" i="4"/>
  <c r="U55" i="4"/>
  <c r="E199" i="4"/>
  <c r="L199" i="4" s="1"/>
  <c r="M199" i="4"/>
  <c r="G58" i="4"/>
  <c r="L58" i="4"/>
  <c r="E59" i="4"/>
  <c r="U196" i="4"/>
  <c r="V196" i="4"/>
  <c r="Q197" i="4"/>
  <c r="W197" i="4"/>
  <c r="Z57" i="4"/>
  <c r="AA57" i="4" s="1"/>
  <c r="O57" i="4"/>
  <c r="P57" i="4"/>
  <c r="Z198" i="4"/>
  <c r="AA198" i="4" s="1"/>
  <c r="O198" i="4"/>
  <c r="F55" i="10" l="1"/>
  <c r="R198" i="4"/>
  <c r="S198" i="4" s="1"/>
  <c r="Y198" i="4"/>
  <c r="Q57" i="4"/>
  <c r="W57" i="4"/>
  <c r="V56" i="4"/>
  <c r="U56" i="4"/>
  <c r="Q198" i="4"/>
  <c r="W198" i="4"/>
  <c r="P199" i="4"/>
  <c r="E200" i="4"/>
  <c r="L200" i="4" s="1"/>
  <c r="M200" i="4"/>
  <c r="T198" i="4"/>
  <c r="Z199" i="4"/>
  <c r="AA199" i="4" s="1"/>
  <c r="O199" i="4"/>
  <c r="G59" i="4"/>
  <c r="L59" i="4"/>
  <c r="E60" i="4"/>
  <c r="R57" i="4"/>
  <c r="S57" i="4" s="1"/>
  <c r="X57" i="4"/>
  <c r="T57" i="4"/>
  <c r="Y57" i="4"/>
  <c r="P58" i="4"/>
  <c r="O58" i="4"/>
  <c r="Z58" i="4"/>
  <c r="AA58" i="4" s="1"/>
  <c r="D202" i="4"/>
  <c r="G201" i="4"/>
  <c r="N201" i="4"/>
  <c r="F56" i="10" l="1"/>
  <c r="E201" i="4"/>
  <c r="L201" i="4" s="1"/>
  <c r="M201" i="4"/>
  <c r="T58" i="4"/>
  <c r="X58" i="4"/>
  <c r="R58" i="4"/>
  <c r="S58" i="4" s="1"/>
  <c r="Y58" i="4"/>
  <c r="Q199" i="4"/>
  <c r="W199" i="4"/>
  <c r="O200" i="4"/>
  <c r="Z200" i="4"/>
  <c r="AA200" i="4" s="1"/>
  <c r="D203" i="4"/>
  <c r="G202" i="4"/>
  <c r="N202" i="4"/>
  <c r="G60" i="4"/>
  <c r="E61" i="4"/>
  <c r="L60" i="4"/>
  <c r="Y199" i="4"/>
  <c r="R199" i="4"/>
  <c r="S199" i="4" s="1"/>
  <c r="T199" i="4"/>
  <c r="X199" i="4"/>
  <c r="V57" i="4"/>
  <c r="U57" i="4"/>
  <c r="Z59" i="4"/>
  <c r="AA59" i="4" s="1"/>
  <c r="P59" i="4"/>
  <c r="O59" i="4"/>
  <c r="U198" i="4"/>
  <c r="V198" i="4"/>
  <c r="Q58" i="4"/>
  <c r="W58" i="4"/>
  <c r="P200" i="4"/>
  <c r="F57" i="10" l="1"/>
  <c r="R59" i="4"/>
  <c r="S59" i="4" s="1"/>
  <c r="X59" i="4"/>
  <c r="T59" i="4"/>
  <c r="Y59" i="4"/>
  <c r="P60" i="4"/>
  <c r="O60" i="4"/>
  <c r="Z60" i="4"/>
  <c r="AA60" i="4" s="1"/>
  <c r="E202" i="4"/>
  <c r="L202" i="4" s="1"/>
  <c r="M202" i="4"/>
  <c r="U199" i="4"/>
  <c r="V199" i="4"/>
  <c r="G61" i="4"/>
  <c r="L61" i="4"/>
  <c r="E62" i="4"/>
  <c r="D204" i="4"/>
  <c r="G203" i="4"/>
  <c r="N203" i="4"/>
  <c r="U58" i="4"/>
  <c r="V58" i="4"/>
  <c r="Y200" i="4"/>
  <c r="R200" i="4"/>
  <c r="S200" i="4" s="1"/>
  <c r="X200" i="4"/>
  <c r="T200" i="4"/>
  <c r="P201" i="4"/>
  <c r="Q59" i="4"/>
  <c r="W59" i="4"/>
  <c r="Q200" i="4"/>
  <c r="W200" i="4"/>
  <c r="O201" i="4"/>
  <c r="Z201" i="4"/>
  <c r="AA201" i="4" s="1"/>
  <c r="F58" i="10" l="1"/>
  <c r="Y201" i="4"/>
  <c r="X201" i="4"/>
  <c r="R201" i="4"/>
  <c r="S201" i="4" s="1"/>
  <c r="T201" i="4"/>
  <c r="E203" i="4"/>
  <c r="L203" i="4" s="1"/>
  <c r="M203" i="4"/>
  <c r="O202" i="4"/>
  <c r="Z202" i="4"/>
  <c r="AA202" i="4" s="1"/>
  <c r="U200" i="4"/>
  <c r="V200" i="4"/>
  <c r="D205" i="4"/>
  <c r="G204" i="4"/>
  <c r="N204" i="4"/>
  <c r="V59" i="4"/>
  <c r="U59" i="4"/>
  <c r="L62" i="4"/>
  <c r="E63" i="4"/>
  <c r="G62" i="4"/>
  <c r="Q60" i="4"/>
  <c r="W60" i="4"/>
  <c r="Q201" i="4"/>
  <c r="W201" i="4"/>
  <c r="O61" i="4"/>
  <c r="P61" i="4"/>
  <c r="Z61" i="4"/>
  <c r="AA61" i="4" s="1"/>
  <c r="P202" i="4"/>
  <c r="T60" i="4"/>
  <c r="X60" i="4"/>
  <c r="Y60" i="4"/>
  <c r="R60" i="4"/>
  <c r="S60" i="4" s="1"/>
  <c r="F59" i="10" l="1"/>
  <c r="P203" i="4"/>
  <c r="Y203" i="4" s="1"/>
  <c r="T61" i="4"/>
  <c r="Y61" i="4"/>
  <c r="R61" i="4"/>
  <c r="S61" i="4" s="1"/>
  <c r="X61" i="4"/>
  <c r="O62" i="4"/>
  <c r="P62" i="4"/>
  <c r="Z62" i="4"/>
  <c r="AA62" i="4" s="1"/>
  <c r="E204" i="4"/>
  <c r="L204" i="4" s="1"/>
  <c r="M204" i="4"/>
  <c r="U201" i="4"/>
  <c r="V201" i="4"/>
  <c r="U60" i="4"/>
  <c r="V60" i="4"/>
  <c r="W61" i="4"/>
  <c r="Q61" i="4"/>
  <c r="D206" i="4"/>
  <c r="G205" i="4"/>
  <c r="N205" i="4"/>
  <c r="Q202" i="4"/>
  <c r="W202" i="4"/>
  <c r="Y202" i="4"/>
  <c r="R202" i="4"/>
  <c r="S202" i="4" s="1"/>
  <c r="X202" i="4"/>
  <c r="T202" i="4"/>
  <c r="L63" i="4"/>
  <c r="E64" i="4"/>
  <c r="G63" i="4"/>
  <c r="O203" i="4"/>
  <c r="Z203" i="4"/>
  <c r="AA203" i="4" s="1"/>
  <c r="F60" i="10" l="1"/>
  <c r="R203" i="4"/>
  <c r="S203" i="4" s="1"/>
  <c r="X203" i="4"/>
  <c r="Q203" i="4"/>
  <c r="W203" i="4"/>
  <c r="U202" i="4"/>
  <c r="V202" i="4"/>
  <c r="D207" i="4"/>
  <c r="G206" i="4"/>
  <c r="N206" i="4"/>
  <c r="O204" i="4"/>
  <c r="Z204" i="4"/>
  <c r="AA204" i="4" s="1"/>
  <c r="L64" i="4"/>
  <c r="E65" i="4"/>
  <c r="G64" i="4"/>
  <c r="T203" i="4"/>
  <c r="Y62" i="4"/>
  <c r="X62" i="4"/>
  <c r="R62" i="4"/>
  <c r="S62" i="4" s="1"/>
  <c r="T62" i="4"/>
  <c r="O63" i="4"/>
  <c r="P63" i="4"/>
  <c r="Z63" i="4"/>
  <c r="AA63" i="4" s="1"/>
  <c r="E205" i="4"/>
  <c r="L205" i="4" s="1"/>
  <c r="M205" i="4"/>
  <c r="P204" i="4"/>
  <c r="Q62" i="4"/>
  <c r="W62" i="4"/>
  <c r="U61" i="4"/>
  <c r="V61" i="4"/>
  <c r="F61" i="10" l="1"/>
  <c r="Q204" i="4"/>
  <c r="W204" i="4"/>
  <c r="Y204" i="4"/>
  <c r="R204" i="4"/>
  <c r="S204" i="4" s="1"/>
  <c r="X204" i="4"/>
  <c r="T204" i="4"/>
  <c r="Y63" i="4"/>
  <c r="X63" i="4"/>
  <c r="R63" i="4"/>
  <c r="S63" i="4" s="1"/>
  <c r="T63" i="4"/>
  <c r="L65" i="4"/>
  <c r="E66" i="4"/>
  <c r="G65" i="4"/>
  <c r="P205" i="4"/>
  <c r="W63" i="4"/>
  <c r="Q63" i="4"/>
  <c r="O64" i="4"/>
  <c r="P64" i="4"/>
  <c r="Z64" i="4"/>
  <c r="AA64" i="4" s="1"/>
  <c r="E206" i="4"/>
  <c r="L206" i="4" s="1"/>
  <c r="M206" i="4"/>
  <c r="O205" i="4"/>
  <c r="Z205" i="4"/>
  <c r="AA205" i="4" s="1"/>
  <c r="U62" i="4"/>
  <c r="V62" i="4"/>
  <c r="U203" i="4"/>
  <c r="V203" i="4"/>
  <c r="N207" i="4"/>
  <c r="G207" i="4"/>
  <c r="D208" i="4"/>
  <c r="F62" i="10" l="1"/>
  <c r="O206" i="4"/>
  <c r="Z206" i="4"/>
  <c r="AA206" i="4" s="1"/>
  <c r="L66" i="4"/>
  <c r="E67" i="4"/>
  <c r="G66" i="4"/>
  <c r="O65" i="4"/>
  <c r="Z65" i="4"/>
  <c r="AA65" i="4" s="1"/>
  <c r="P65" i="4"/>
  <c r="N208" i="4"/>
  <c r="G208" i="4"/>
  <c r="D209" i="4"/>
  <c r="Q205" i="4"/>
  <c r="W205" i="4"/>
  <c r="Y64" i="4"/>
  <c r="T64" i="4"/>
  <c r="X64" i="4"/>
  <c r="R64" i="4"/>
  <c r="S64" i="4" s="1"/>
  <c r="Y205" i="4"/>
  <c r="T205" i="4"/>
  <c r="R205" i="4"/>
  <c r="S205" i="4" s="1"/>
  <c r="X205" i="4"/>
  <c r="U63" i="4"/>
  <c r="V63" i="4"/>
  <c r="U204" i="4"/>
  <c r="V204" i="4"/>
  <c r="E207" i="4"/>
  <c r="L207" i="4" s="1"/>
  <c r="M207" i="4"/>
  <c r="P206" i="4"/>
  <c r="Q64" i="4"/>
  <c r="W64" i="4"/>
  <c r="F63" i="10" l="1"/>
  <c r="P207" i="4"/>
  <c r="U205" i="4"/>
  <c r="V205" i="4"/>
  <c r="U64" i="4"/>
  <c r="V64" i="4"/>
  <c r="N209" i="4"/>
  <c r="G209" i="4"/>
  <c r="D210" i="4"/>
  <c r="O66" i="4"/>
  <c r="P66" i="4"/>
  <c r="Z66" i="4"/>
  <c r="AA66" i="4" s="1"/>
  <c r="Y65" i="4"/>
  <c r="R65" i="4"/>
  <c r="S65" i="4" s="1"/>
  <c r="T65" i="4"/>
  <c r="X65" i="4"/>
  <c r="Z207" i="4"/>
  <c r="AA207" i="4" s="1"/>
  <c r="O207" i="4"/>
  <c r="E208" i="4"/>
  <c r="L208" i="4" s="1"/>
  <c r="M208" i="4"/>
  <c r="W65" i="4"/>
  <c r="Q65" i="4"/>
  <c r="Y206" i="4"/>
  <c r="R206" i="4"/>
  <c r="S206" i="4" s="1"/>
  <c r="X206" i="4"/>
  <c r="T206" i="4"/>
  <c r="G67" i="4"/>
  <c r="L67" i="4"/>
  <c r="E68" i="4"/>
  <c r="Q206" i="4"/>
  <c r="W206" i="4"/>
  <c r="F64" i="10" l="1"/>
  <c r="P208" i="4"/>
  <c r="R208" i="4" s="1"/>
  <c r="S208" i="4" s="1"/>
  <c r="L68" i="4"/>
  <c r="E69" i="4"/>
  <c r="G68" i="4"/>
  <c r="N210" i="4"/>
  <c r="G210" i="4"/>
  <c r="D211" i="4"/>
  <c r="O67" i="4"/>
  <c r="P67" i="4"/>
  <c r="Z67" i="4"/>
  <c r="AA67" i="4" s="1"/>
  <c r="E209" i="4"/>
  <c r="L209" i="4" s="1"/>
  <c r="M209" i="4"/>
  <c r="Z208" i="4"/>
  <c r="AA208" i="4" s="1"/>
  <c r="O208" i="4"/>
  <c r="U65" i="4"/>
  <c r="V65" i="4"/>
  <c r="Y66" i="4"/>
  <c r="R66" i="4"/>
  <c r="S66" i="4" s="1"/>
  <c r="X66" i="4"/>
  <c r="T66" i="4"/>
  <c r="U206" i="4"/>
  <c r="V206" i="4"/>
  <c r="W207" i="4"/>
  <c r="Q207" i="4"/>
  <c r="Q66" i="4"/>
  <c r="W66" i="4"/>
  <c r="R207" i="4"/>
  <c r="S207" i="4" s="1"/>
  <c r="T207" i="4"/>
  <c r="X207" i="4"/>
  <c r="Y207" i="4"/>
  <c r="F65" i="10" l="1"/>
  <c r="T208" i="4"/>
  <c r="V208" i="4" s="1"/>
  <c r="Y208" i="4"/>
  <c r="X208" i="4"/>
  <c r="R67" i="4"/>
  <c r="S67" i="4" s="1"/>
  <c r="X67" i="4"/>
  <c r="T67" i="4"/>
  <c r="Y67" i="4"/>
  <c r="V207" i="4"/>
  <c r="U207" i="4"/>
  <c r="U66" i="4"/>
  <c r="V66" i="4"/>
  <c r="P209" i="4"/>
  <c r="W67" i="4"/>
  <c r="Q67" i="4"/>
  <c r="Z209" i="4"/>
  <c r="AA209" i="4" s="1"/>
  <c r="O209" i="4"/>
  <c r="N211" i="4"/>
  <c r="G211" i="4"/>
  <c r="D212" i="4"/>
  <c r="G69" i="4"/>
  <c r="L69" i="4"/>
  <c r="E70" i="4"/>
  <c r="W208" i="4"/>
  <c r="Q208" i="4"/>
  <c r="E210" i="4"/>
  <c r="L210" i="4" s="1"/>
  <c r="M210" i="4"/>
  <c r="O68" i="4"/>
  <c r="Z68" i="4"/>
  <c r="AA68" i="4" s="1"/>
  <c r="P68" i="4"/>
  <c r="F66" i="10" l="1"/>
  <c r="U208" i="4"/>
  <c r="Y68" i="4"/>
  <c r="X68" i="4"/>
  <c r="T68" i="4"/>
  <c r="R68" i="4"/>
  <c r="S68" i="4" s="1"/>
  <c r="Z210" i="4"/>
  <c r="AA210" i="4" s="1"/>
  <c r="O210" i="4"/>
  <c r="P69" i="4"/>
  <c r="Z69" i="4"/>
  <c r="AA69" i="4" s="1"/>
  <c r="O69" i="4"/>
  <c r="W209" i="4"/>
  <c r="Q209" i="4"/>
  <c r="R209" i="4"/>
  <c r="S209" i="4" s="1"/>
  <c r="T209" i="4"/>
  <c r="X209" i="4"/>
  <c r="Y209" i="4"/>
  <c r="Q68" i="4"/>
  <c r="W68" i="4"/>
  <c r="N212" i="4"/>
  <c r="G212" i="4"/>
  <c r="D213" i="4"/>
  <c r="P210" i="4"/>
  <c r="G70" i="4"/>
  <c r="E71" i="4"/>
  <c r="L70" i="4"/>
  <c r="E211" i="4"/>
  <c r="L211" i="4" s="1"/>
  <c r="M211" i="4"/>
  <c r="U67" i="4"/>
  <c r="V67" i="4"/>
  <c r="F67" i="10" l="1"/>
  <c r="Z70" i="4"/>
  <c r="AA70" i="4" s="1"/>
  <c r="O70" i="4"/>
  <c r="P70" i="4"/>
  <c r="N213" i="4"/>
  <c r="G213" i="4"/>
  <c r="D214" i="4"/>
  <c r="G71" i="4"/>
  <c r="L71" i="4"/>
  <c r="E72" i="4"/>
  <c r="E212" i="4"/>
  <c r="L212" i="4" s="1"/>
  <c r="M212" i="4"/>
  <c r="T69" i="4"/>
  <c r="X69" i="4"/>
  <c r="Y69" i="4"/>
  <c r="R69" i="4"/>
  <c r="S69" i="4" s="1"/>
  <c r="U68" i="4"/>
  <c r="V68" i="4"/>
  <c r="P211" i="4"/>
  <c r="W210" i="4"/>
  <c r="Q210" i="4"/>
  <c r="Z211" i="4"/>
  <c r="AA211" i="4" s="1"/>
  <c r="O211" i="4"/>
  <c r="R210" i="4"/>
  <c r="S210" i="4" s="1"/>
  <c r="T210" i="4"/>
  <c r="X210" i="4"/>
  <c r="Y210" i="4"/>
  <c r="V209" i="4"/>
  <c r="U209" i="4"/>
  <c r="Q69" i="4"/>
  <c r="W69" i="4"/>
  <c r="F68" i="10" l="1"/>
  <c r="V210" i="4"/>
  <c r="U210" i="4"/>
  <c r="U69" i="4"/>
  <c r="V69" i="4"/>
  <c r="P71" i="4"/>
  <c r="Z71" i="4"/>
  <c r="AA71" i="4" s="1"/>
  <c r="O71" i="4"/>
  <c r="P212" i="4"/>
  <c r="R70" i="4"/>
  <c r="S70" i="4" s="1"/>
  <c r="T70" i="4"/>
  <c r="X70" i="4"/>
  <c r="Y70" i="4"/>
  <c r="W211" i="4"/>
  <c r="Q211" i="4"/>
  <c r="R211" i="4"/>
  <c r="S211" i="4" s="1"/>
  <c r="T211" i="4"/>
  <c r="X211" i="4"/>
  <c r="Y211" i="4"/>
  <c r="Z212" i="4"/>
  <c r="AA212" i="4" s="1"/>
  <c r="O212" i="4"/>
  <c r="N214" i="4"/>
  <c r="G214" i="4"/>
  <c r="D215" i="4"/>
  <c r="W70" i="4"/>
  <c r="Q70" i="4"/>
  <c r="G72" i="4"/>
  <c r="L72" i="4"/>
  <c r="E73" i="4"/>
  <c r="E213" i="4"/>
  <c r="L213" i="4" s="1"/>
  <c r="M213" i="4"/>
  <c r="F69" i="10" l="1"/>
  <c r="G73" i="4"/>
  <c r="L73" i="4"/>
  <c r="E74" i="4"/>
  <c r="W212" i="4"/>
  <c r="Q212" i="4"/>
  <c r="V211" i="4"/>
  <c r="U211" i="4"/>
  <c r="R212" i="4"/>
  <c r="S212" i="4" s="1"/>
  <c r="T212" i="4"/>
  <c r="X212" i="4"/>
  <c r="Y212" i="4"/>
  <c r="Z72" i="4"/>
  <c r="AA72" i="4" s="1"/>
  <c r="O72" i="4"/>
  <c r="P72" i="4"/>
  <c r="N215" i="4"/>
  <c r="G215" i="4"/>
  <c r="D216" i="4"/>
  <c r="Q71" i="4"/>
  <c r="W71" i="4"/>
  <c r="P213" i="4"/>
  <c r="E214" i="4"/>
  <c r="L214" i="4" s="1"/>
  <c r="M214" i="4"/>
  <c r="V70" i="4"/>
  <c r="U70" i="4"/>
  <c r="Z213" i="4"/>
  <c r="AA213" i="4" s="1"/>
  <c r="O213" i="4"/>
  <c r="T71" i="4"/>
  <c r="X71" i="4"/>
  <c r="Y71" i="4"/>
  <c r="R71" i="4"/>
  <c r="S71" i="4" s="1"/>
  <c r="F70" i="10" l="1"/>
  <c r="P214" i="4"/>
  <c r="R214" i="4" s="1"/>
  <c r="S214" i="4" s="1"/>
  <c r="R213" i="4"/>
  <c r="S213" i="4" s="1"/>
  <c r="T213" i="4"/>
  <c r="X213" i="4"/>
  <c r="Y213" i="4"/>
  <c r="E215" i="4"/>
  <c r="L215" i="4" s="1"/>
  <c r="M215" i="4"/>
  <c r="U71" i="4"/>
  <c r="V71" i="4"/>
  <c r="G74" i="4"/>
  <c r="L74" i="4"/>
  <c r="E75" i="4"/>
  <c r="W213" i="4"/>
  <c r="Q213" i="4"/>
  <c r="R72" i="4"/>
  <c r="S72" i="4" s="1"/>
  <c r="T72" i="4"/>
  <c r="X72" i="4"/>
  <c r="Y72" i="4"/>
  <c r="P73" i="4"/>
  <c r="Z73" i="4"/>
  <c r="AA73" i="4" s="1"/>
  <c r="O73" i="4"/>
  <c r="Z214" i="4"/>
  <c r="AA214" i="4" s="1"/>
  <c r="O214" i="4"/>
  <c r="N216" i="4"/>
  <c r="G216" i="4"/>
  <c r="D217" i="4"/>
  <c r="W72" i="4"/>
  <c r="Q72" i="4"/>
  <c r="V212" i="4"/>
  <c r="U212" i="4"/>
  <c r="F71" i="10" l="1"/>
  <c r="Y214" i="4"/>
  <c r="X214" i="4"/>
  <c r="T214" i="4"/>
  <c r="U214" i="4" s="1"/>
  <c r="P215" i="4"/>
  <c r="R215" i="4" s="1"/>
  <c r="S215" i="4" s="1"/>
  <c r="E216" i="4"/>
  <c r="L216" i="4" s="1"/>
  <c r="M216" i="4"/>
  <c r="Q73" i="4"/>
  <c r="W73" i="4"/>
  <c r="V72" i="4"/>
  <c r="U72" i="4"/>
  <c r="G75" i="4"/>
  <c r="L75" i="4"/>
  <c r="E76" i="4"/>
  <c r="W214" i="4"/>
  <c r="Q214" i="4"/>
  <c r="T73" i="4"/>
  <c r="X73" i="4"/>
  <c r="Y73" i="4"/>
  <c r="R73" i="4"/>
  <c r="S73" i="4" s="1"/>
  <c r="Z74" i="4"/>
  <c r="AA74" i="4" s="1"/>
  <c r="O74" i="4"/>
  <c r="P74" i="4"/>
  <c r="V213" i="4"/>
  <c r="U213" i="4"/>
  <c r="N217" i="4"/>
  <c r="G217" i="4"/>
  <c r="D218" i="4"/>
  <c r="Z215" i="4"/>
  <c r="AA215" i="4" s="1"/>
  <c r="O215" i="4"/>
  <c r="F72" i="10" l="1"/>
  <c r="Y215" i="4"/>
  <c r="X215" i="4"/>
  <c r="V214" i="4"/>
  <c r="W215" i="4"/>
  <c r="Q215" i="4"/>
  <c r="W74" i="4"/>
  <c r="Q74" i="4"/>
  <c r="G76" i="4"/>
  <c r="E77" i="4"/>
  <c r="L76" i="4"/>
  <c r="P216" i="4"/>
  <c r="T215" i="4"/>
  <c r="U73" i="4"/>
  <c r="V73" i="4"/>
  <c r="P75" i="4"/>
  <c r="Z75" i="4"/>
  <c r="AA75" i="4" s="1"/>
  <c r="O75" i="4"/>
  <c r="Z216" i="4"/>
  <c r="AA216" i="4" s="1"/>
  <c r="O216" i="4"/>
  <c r="N218" i="4"/>
  <c r="G218" i="4"/>
  <c r="D219" i="4"/>
  <c r="E217" i="4"/>
  <c r="L217" i="4" s="1"/>
  <c r="M217" i="4"/>
  <c r="R74" i="4"/>
  <c r="S74" i="4" s="1"/>
  <c r="T74" i="4"/>
  <c r="X74" i="4"/>
  <c r="Y74" i="4"/>
  <c r="F73" i="10" l="1"/>
  <c r="Z217" i="4"/>
  <c r="AA217" i="4" s="1"/>
  <c r="O217" i="4"/>
  <c r="Q216" i="4"/>
  <c r="W216" i="4"/>
  <c r="T75" i="4"/>
  <c r="X75" i="4"/>
  <c r="Y75" i="4"/>
  <c r="R75" i="4"/>
  <c r="S75" i="4" s="1"/>
  <c r="R216" i="4"/>
  <c r="S216" i="4" s="1"/>
  <c r="T216" i="4"/>
  <c r="X216" i="4"/>
  <c r="Y216" i="4"/>
  <c r="V74" i="4"/>
  <c r="U74" i="4"/>
  <c r="N219" i="4"/>
  <c r="G219" i="4"/>
  <c r="D220" i="4"/>
  <c r="Z76" i="4"/>
  <c r="AA76" i="4" s="1"/>
  <c r="O76" i="4"/>
  <c r="P76" i="4"/>
  <c r="E218" i="4"/>
  <c r="L218" i="4" s="1"/>
  <c r="M218" i="4"/>
  <c r="Q75" i="4"/>
  <c r="W75" i="4"/>
  <c r="G77" i="4"/>
  <c r="L77" i="4"/>
  <c r="E78" i="4"/>
  <c r="P217" i="4"/>
  <c r="V215" i="4"/>
  <c r="U215" i="4"/>
  <c r="F74" i="10" l="1"/>
  <c r="R217" i="4"/>
  <c r="S217" i="4" s="1"/>
  <c r="T217" i="4"/>
  <c r="X217" i="4"/>
  <c r="Y217" i="4"/>
  <c r="R76" i="4"/>
  <c r="S76" i="4" s="1"/>
  <c r="T76" i="4"/>
  <c r="X76" i="4"/>
  <c r="Y76" i="4"/>
  <c r="E219" i="4"/>
  <c r="L219" i="4" s="1"/>
  <c r="M219" i="4"/>
  <c r="G78" i="4"/>
  <c r="E79" i="4"/>
  <c r="L78" i="4"/>
  <c r="W76" i="4"/>
  <c r="Q76" i="4"/>
  <c r="P77" i="4"/>
  <c r="Z77" i="4"/>
  <c r="AA77" i="4" s="1"/>
  <c r="O77" i="4"/>
  <c r="P218" i="4"/>
  <c r="V216" i="4"/>
  <c r="U216" i="4"/>
  <c r="W217" i="4"/>
  <c r="Q217" i="4"/>
  <c r="Z218" i="4"/>
  <c r="AA218" i="4" s="1"/>
  <c r="O218" i="4"/>
  <c r="G220" i="4"/>
  <c r="D221" i="4"/>
  <c r="N220" i="4"/>
  <c r="U75" i="4"/>
  <c r="V75" i="4"/>
  <c r="F75" i="10" l="1"/>
  <c r="T77" i="4"/>
  <c r="X77" i="4"/>
  <c r="Y77" i="4"/>
  <c r="R77" i="4"/>
  <c r="S77" i="4" s="1"/>
  <c r="G79" i="4"/>
  <c r="L79" i="4"/>
  <c r="E80" i="4"/>
  <c r="D222" i="4"/>
  <c r="N221" i="4"/>
  <c r="G221" i="4"/>
  <c r="R218" i="4"/>
  <c r="S218" i="4" s="1"/>
  <c r="T218" i="4"/>
  <c r="X218" i="4"/>
  <c r="Y218" i="4"/>
  <c r="E220" i="4"/>
  <c r="L220" i="4" s="1"/>
  <c r="M220" i="4"/>
  <c r="Q77" i="4"/>
  <c r="W77" i="4"/>
  <c r="P219" i="4"/>
  <c r="V76" i="4"/>
  <c r="U76" i="4"/>
  <c r="V217" i="4"/>
  <c r="U217" i="4"/>
  <c r="W218" i="4"/>
  <c r="Q218" i="4"/>
  <c r="Z78" i="4"/>
  <c r="AA78" i="4" s="1"/>
  <c r="O78" i="4"/>
  <c r="P78" i="4"/>
  <c r="Z219" i="4"/>
  <c r="AA219" i="4" s="1"/>
  <c r="O219" i="4"/>
  <c r="F76" i="10" l="1"/>
  <c r="R78" i="4"/>
  <c r="S78" i="4" s="1"/>
  <c r="T78" i="4"/>
  <c r="X78" i="4"/>
  <c r="Y78" i="4"/>
  <c r="P220" i="4"/>
  <c r="V218" i="4"/>
  <c r="U218" i="4"/>
  <c r="D223" i="4"/>
  <c r="N222" i="4"/>
  <c r="G222" i="4"/>
  <c r="W78" i="4"/>
  <c r="Q78" i="4"/>
  <c r="R219" i="4"/>
  <c r="S219" i="4" s="1"/>
  <c r="T219" i="4"/>
  <c r="X219" i="4"/>
  <c r="Y219" i="4"/>
  <c r="Z220" i="4"/>
  <c r="AA220" i="4" s="1"/>
  <c r="O220" i="4"/>
  <c r="G80" i="4"/>
  <c r="L80" i="4"/>
  <c r="E81" i="4"/>
  <c r="W219" i="4"/>
  <c r="Q219" i="4"/>
  <c r="E221" i="4"/>
  <c r="L221" i="4" s="1"/>
  <c r="M221" i="4"/>
  <c r="P79" i="4"/>
  <c r="Z79" i="4"/>
  <c r="AA79" i="4" s="1"/>
  <c r="O79" i="4"/>
  <c r="U77" i="4"/>
  <c r="V77" i="4"/>
  <c r="F77" i="10" l="1"/>
  <c r="Q79" i="4"/>
  <c r="W79" i="4"/>
  <c r="Z221" i="4"/>
  <c r="AA221" i="4" s="1"/>
  <c r="O221" i="4"/>
  <c r="Z80" i="4"/>
  <c r="AA80" i="4" s="1"/>
  <c r="O80" i="4"/>
  <c r="P80" i="4"/>
  <c r="D224" i="4"/>
  <c r="N223" i="4"/>
  <c r="G223" i="4"/>
  <c r="T79" i="4"/>
  <c r="X79" i="4"/>
  <c r="Y79" i="4"/>
  <c r="R79" i="4"/>
  <c r="S79" i="4" s="1"/>
  <c r="Q220" i="4"/>
  <c r="W220" i="4"/>
  <c r="V219" i="4"/>
  <c r="U219" i="4"/>
  <c r="E222" i="4"/>
  <c r="L222" i="4" s="1"/>
  <c r="M222" i="4"/>
  <c r="V78" i="4"/>
  <c r="U78" i="4"/>
  <c r="P221" i="4"/>
  <c r="G81" i="4"/>
  <c r="L81" i="4"/>
  <c r="E82" i="4"/>
  <c r="T220" i="4"/>
  <c r="X220" i="4"/>
  <c r="Y220" i="4"/>
  <c r="R220" i="4"/>
  <c r="S220" i="4" s="1"/>
  <c r="F78" i="10" l="1"/>
  <c r="P222" i="4"/>
  <c r="D225" i="4"/>
  <c r="N224" i="4"/>
  <c r="G224" i="4"/>
  <c r="Q221" i="4"/>
  <c r="W221" i="4"/>
  <c r="U220" i="4"/>
  <c r="V220" i="4"/>
  <c r="T221" i="4"/>
  <c r="X221" i="4"/>
  <c r="Y221" i="4"/>
  <c r="R221" i="4"/>
  <c r="S221" i="4" s="1"/>
  <c r="Z222" i="4"/>
  <c r="AA222" i="4" s="1"/>
  <c r="O222" i="4"/>
  <c r="U79" i="4"/>
  <c r="V79" i="4"/>
  <c r="R80" i="4"/>
  <c r="S80" i="4" s="1"/>
  <c r="T80" i="4"/>
  <c r="X80" i="4"/>
  <c r="Y80" i="4"/>
  <c r="G82" i="4"/>
  <c r="L82" i="4"/>
  <c r="E83" i="4"/>
  <c r="E223" i="4"/>
  <c r="L223" i="4" s="1"/>
  <c r="M223" i="4"/>
  <c r="W80" i="4"/>
  <c r="Q80" i="4"/>
  <c r="P81" i="4"/>
  <c r="Z81" i="4"/>
  <c r="AA81" i="4" s="1"/>
  <c r="O81" i="4"/>
  <c r="F79" i="10" l="1"/>
  <c r="Z223" i="4"/>
  <c r="AA223" i="4" s="1"/>
  <c r="O223" i="4"/>
  <c r="E224" i="4"/>
  <c r="L224" i="4" s="1"/>
  <c r="M224" i="4"/>
  <c r="G83" i="4"/>
  <c r="L83" i="4"/>
  <c r="E84" i="4"/>
  <c r="T81" i="4"/>
  <c r="X81" i="4"/>
  <c r="Y81" i="4"/>
  <c r="R81" i="4"/>
  <c r="S81" i="4" s="1"/>
  <c r="Q81" i="4"/>
  <c r="W81" i="4"/>
  <c r="Z82" i="4"/>
  <c r="AA82" i="4" s="1"/>
  <c r="O82" i="4"/>
  <c r="P82" i="4"/>
  <c r="V80" i="4"/>
  <c r="U80" i="4"/>
  <c r="Q222" i="4"/>
  <c r="W222" i="4"/>
  <c r="D226" i="4"/>
  <c r="N225" i="4"/>
  <c r="G225" i="4"/>
  <c r="P223" i="4"/>
  <c r="U221" i="4"/>
  <c r="V221" i="4"/>
  <c r="T222" i="4"/>
  <c r="X222" i="4"/>
  <c r="Y222" i="4"/>
  <c r="R222" i="4"/>
  <c r="S222" i="4" s="1"/>
  <c r="F80" i="10" l="1"/>
  <c r="T223" i="4"/>
  <c r="X223" i="4"/>
  <c r="Y223" i="4"/>
  <c r="R223" i="4"/>
  <c r="S223" i="4" s="1"/>
  <c r="R82" i="4"/>
  <c r="S82" i="4" s="1"/>
  <c r="T82" i="4"/>
  <c r="X82" i="4"/>
  <c r="Y82" i="4"/>
  <c r="U81" i="4"/>
  <c r="V81" i="4"/>
  <c r="P224" i="4"/>
  <c r="U222" i="4"/>
  <c r="V222" i="4"/>
  <c r="E225" i="4"/>
  <c r="L225" i="4" s="1"/>
  <c r="M225" i="4"/>
  <c r="W82" i="4"/>
  <c r="Q82" i="4"/>
  <c r="G84" i="4"/>
  <c r="E85" i="4"/>
  <c r="L84" i="4"/>
  <c r="Z224" i="4"/>
  <c r="AA224" i="4" s="1"/>
  <c r="O224" i="4"/>
  <c r="P83" i="4"/>
  <c r="Z83" i="4"/>
  <c r="AA83" i="4" s="1"/>
  <c r="O83" i="4"/>
  <c r="Q223" i="4"/>
  <c r="W223" i="4"/>
  <c r="D227" i="4"/>
  <c r="N226" i="4"/>
  <c r="G226" i="4"/>
  <c r="F81" i="10" l="1"/>
  <c r="P225" i="4"/>
  <c r="Y225" i="4" s="1"/>
  <c r="D228" i="4"/>
  <c r="N227" i="4"/>
  <c r="G227" i="4"/>
  <c r="Z84" i="4"/>
  <c r="AA84" i="4" s="1"/>
  <c r="O84" i="4"/>
  <c r="P84" i="4"/>
  <c r="T83" i="4"/>
  <c r="X83" i="4"/>
  <c r="Y83" i="4"/>
  <c r="R83" i="4"/>
  <c r="S83" i="4" s="1"/>
  <c r="G85" i="4"/>
  <c r="L85" i="4"/>
  <c r="E86" i="4"/>
  <c r="T224" i="4"/>
  <c r="X224" i="4"/>
  <c r="Y224" i="4"/>
  <c r="R224" i="4"/>
  <c r="S224" i="4" s="1"/>
  <c r="E226" i="4"/>
  <c r="L226" i="4" s="1"/>
  <c r="M226" i="4"/>
  <c r="Q224" i="4"/>
  <c r="W224" i="4"/>
  <c r="Z225" i="4"/>
  <c r="AA225" i="4" s="1"/>
  <c r="O225" i="4"/>
  <c r="V82" i="4"/>
  <c r="U82" i="4"/>
  <c r="Q83" i="4"/>
  <c r="W83" i="4"/>
  <c r="U223" i="4"/>
  <c r="V223" i="4"/>
  <c r="X225" i="4" l="1"/>
  <c r="R225" i="4"/>
  <c r="S225" i="4" s="1"/>
  <c r="F82" i="10"/>
  <c r="P226" i="4"/>
  <c r="X226" i="4" s="1"/>
  <c r="P85" i="4"/>
  <c r="Z85" i="4"/>
  <c r="AA85" i="4" s="1"/>
  <c r="O85" i="4"/>
  <c r="Q225" i="4"/>
  <c r="W225" i="4"/>
  <c r="U83" i="4"/>
  <c r="V83" i="4"/>
  <c r="E227" i="4"/>
  <c r="L227" i="4" s="1"/>
  <c r="M227" i="4"/>
  <c r="Z226" i="4"/>
  <c r="AA226" i="4" s="1"/>
  <c r="O226" i="4"/>
  <c r="U224" i="4"/>
  <c r="V224" i="4"/>
  <c r="T225" i="4"/>
  <c r="R84" i="4"/>
  <c r="S84" i="4" s="1"/>
  <c r="T84" i="4"/>
  <c r="X84" i="4"/>
  <c r="Y84" i="4"/>
  <c r="G86" i="4"/>
  <c r="E87" i="4"/>
  <c r="L86" i="4"/>
  <c r="W84" i="4"/>
  <c r="Q84" i="4"/>
  <c r="D229" i="4"/>
  <c r="N228" i="4"/>
  <c r="G228" i="4"/>
  <c r="F83" i="10" l="1"/>
  <c r="R226" i="4"/>
  <c r="S226" i="4" s="1"/>
  <c r="Y226" i="4"/>
  <c r="D230" i="4"/>
  <c r="N229" i="4"/>
  <c r="G229" i="4"/>
  <c r="G87" i="4"/>
  <c r="L87" i="4"/>
  <c r="E88" i="4"/>
  <c r="V84" i="4"/>
  <c r="U84" i="4"/>
  <c r="Z227" i="4"/>
  <c r="AA227" i="4" s="1"/>
  <c r="O227" i="4"/>
  <c r="Q226" i="4"/>
  <c r="W226" i="4"/>
  <c r="Q85" i="4"/>
  <c r="W85" i="4"/>
  <c r="E228" i="4"/>
  <c r="L228" i="4" s="1"/>
  <c r="M228" i="4"/>
  <c r="U225" i="4"/>
  <c r="V225" i="4"/>
  <c r="T226" i="4"/>
  <c r="Z86" i="4"/>
  <c r="AA86" i="4" s="1"/>
  <c r="O86" i="4"/>
  <c r="P86" i="4"/>
  <c r="P227" i="4"/>
  <c r="T85" i="4"/>
  <c r="X85" i="4"/>
  <c r="Y85" i="4"/>
  <c r="R85" i="4"/>
  <c r="S85" i="4" s="1"/>
  <c r="F84" i="10" l="1"/>
  <c r="U85" i="4"/>
  <c r="V85" i="4"/>
  <c r="P228" i="4"/>
  <c r="T227" i="4"/>
  <c r="X227" i="4"/>
  <c r="Y227" i="4"/>
  <c r="R227" i="4"/>
  <c r="S227" i="4" s="1"/>
  <c r="U226" i="4"/>
  <c r="V226" i="4"/>
  <c r="Z228" i="4"/>
  <c r="AA228" i="4" s="1"/>
  <c r="O228" i="4"/>
  <c r="E229" i="4"/>
  <c r="L229" i="4" s="1"/>
  <c r="M229" i="4"/>
  <c r="R86" i="4"/>
  <c r="S86" i="4" s="1"/>
  <c r="T86" i="4"/>
  <c r="X86" i="4"/>
  <c r="Y86" i="4"/>
  <c r="Q227" i="4"/>
  <c r="W227" i="4"/>
  <c r="G88" i="4"/>
  <c r="L88" i="4"/>
  <c r="E89" i="4"/>
  <c r="W86" i="4"/>
  <c r="Q86" i="4"/>
  <c r="P87" i="4"/>
  <c r="Z87" i="4"/>
  <c r="AA87" i="4" s="1"/>
  <c r="O87" i="4"/>
  <c r="D231" i="4"/>
  <c r="N230" i="4"/>
  <c r="G230" i="4"/>
  <c r="F85" i="10" l="1"/>
  <c r="D232" i="4"/>
  <c r="N231" i="4"/>
  <c r="G231" i="4"/>
  <c r="Z229" i="4"/>
  <c r="AA229" i="4" s="1"/>
  <c r="O229" i="4"/>
  <c r="U227" i="4"/>
  <c r="V227" i="4"/>
  <c r="Q87" i="4"/>
  <c r="W87" i="4"/>
  <c r="V86" i="4"/>
  <c r="U86" i="4"/>
  <c r="Q228" i="4"/>
  <c r="W228" i="4"/>
  <c r="T228" i="4"/>
  <c r="X228" i="4"/>
  <c r="Y228" i="4"/>
  <c r="R228" i="4"/>
  <c r="S228" i="4" s="1"/>
  <c r="E230" i="4"/>
  <c r="L230" i="4" s="1"/>
  <c r="M230" i="4"/>
  <c r="G89" i="4"/>
  <c r="L89" i="4"/>
  <c r="E90" i="4"/>
  <c r="T87" i="4"/>
  <c r="X87" i="4"/>
  <c r="Y87" i="4"/>
  <c r="R87" i="4"/>
  <c r="S87" i="4" s="1"/>
  <c r="Z88" i="4"/>
  <c r="AA88" i="4" s="1"/>
  <c r="O88" i="4"/>
  <c r="P88" i="4"/>
  <c r="P229" i="4"/>
  <c r="F86" i="10" l="1"/>
  <c r="P230" i="4"/>
  <c r="X230" i="4" s="1"/>
  <c r="W88" i="4"/>
  <c r="Q88" i="4"/>
  <c r="U87" i="4"/>
  <c r="V87" i="4"/>
  <c r="E231" i="4"/>
  <c r="L231" i="4" s="1"/>
  <c r="M231" i="4"/>
  <c r="T229" i="4"/>
  <c r="X229" i="4"/>
  <c r="Y229" i="4"/>
  <c r="R229" i="4"/>
  <c r="S229" i="4" s="1"/>
  <c r="G90" i="4"/>
  <c r="L90" i="4"/>
  <c r="E91" i="4"/>
  <c r="Z230" i="4"/>
  <c r="AA230" i="4" s="1"/>
  <c r="O230" i="4"/>
  <c r="U228" i="4"/>
  <c r="V228" i="4"/>
  <c r="R88" i="4"/>
  <c r="S88" i="4" s="1"/>
  <c r="T88" i="4"/>
  <c r="X88" i="4"/>
  <c r="Y88" i="4"/>
  <c r="P89" i="4"/>
  <c r="Z89" i="4"/>
  <c r="AA89" i="4" s="1"/>
  <c r="O89" i="4"/>
  <c r="Q229" i="4"/>
  <c r="W229" i="4"/>
  <c r="D233" i="4"/>
  <c r="N232" i="4"/>
  <c r="G232" i="4"/>
  <c r="F87" i="10" l="1"/>
  <c r="R230" i="4"/>
  <c r="S230" i="4" s="1"/>
  <c r="Y230" i="4"/>
  <c r="Q89" i="4"/>
  <c r="W89" i="4"/>
  <c r="Z90" i="4"/>
  <c r="AA90" i="4" s="1"/>
  <c r="O90" i="4"/>
  <c r="P90" i="4"/>
  <c r="D234" i="4"/>
  <c r="N233" i="4"/>
  <c r="G233" i="4"/>
  <c r="V88" i="4"/>
  <c r="U88" i="4"/>
  <c r="Q230" i="4"/>
  <c r="W230" i="4"/>
  <c r="U229" i="4"/>
  <c r="V229" i="4"/>
  <c r="T89" i="4"/>
  <c r="X89" i="4"/>
  <c r="Y89" i="4"/>
  <c r="R89" i="4"/>
  <c r="S89" i="4" s="1"/>
  <c r="P231" i="4"/>
  <c r="E232" i="4"/>
  <c r="L232" i="4" s="1"/>
  <c r="M232" i="4"/>
  <c r="G91" i="4"/>
  <c r="L91" i="4"/>
  <c r="E92" i="4"/>
  <c r="Z231" i="4"/>
  <c r="AA231" i="4" s="1"/>
  <c r="O231" i="4"/>
  <c r="T230" i="4"/>
  <c r="F88" i="10" l="1"/>
  <c r="G92" i="4"/>
  <c r="E93" i="4"/>
  <c r="L92" i="4"/>
  <c r="Z232" i="4"/>
  <c r="AA232" i="4" s="1"/>
  <c r="O232" i="4"/>
  <c r="E233" i="4"/>
  <c r="L233" i="4" s="1"/>
  <c r="M233" i="4"/>
  <c r="W90" i="4"/>
  <c r="Q90" i="4"/>
  <c r="U230" i="4"/>
  <c r="V230" i="4"/>
  <c r="P91" i="4"/>
  <c r="Z91" i="4"/>
  <c r="AA91" i="4" s="1"/>
  <c r="O91" i="4"/>
  <c r="T231" i="4"/>
  <c r="X231" i="4"/>
  <c r="Y231" i="4"/>
  <c r="R231" i="4"/>
  <c r="S231" i="4" s="1"/>
  <c r="U89" i="4"/>
  <c r="V89" i="4"/>
  <c r="Q231" i="4"/>
  <c r="W231" i="4"/>
  <c r="D235" i="4"/>
  <c r="N234" i="4"/>
  <c r="G234" i="4"/>
  <c r="P232" i="4"/>
  <c r="R90" i="4"/>
  <c r="S90" i="4" s="1"/>
  <c r="T90" i="4"/>
  <c r="X90" i="4"/>
  <c r="Y90" i="4"/>
  <c r="F89" i="10" l="1"/>
  <c r="P233" i="4"/>
  <c r="R233" i="4" s="1"/>
  <c r="S233" i="4" s="1"/>
  <c r="V90" i="4"/>
  <c r="U90" i="4"/>
  <c r="T91" i="4"/>
  <c r="X91" i="4"/>
  <c r="Y91" i="4"/>
  <c r="R91" i="4"/>
  <c r="S91" i="4" s="1"/>
  <c r="D236" i="4"/>
  <c r="N235" i="4"/>
  <c r="G235" i="4"/>
  <c r="U231" i="4"/>
  <c r="V231" i="4"/>
  <c r="X233" i="4"/>
  <c r="Z92" i="4"/>
  <c r="AA92" i="4" s="1"/>
  <c r="O92" i="4"/>
  <c r="P92" i="4"/>
  <c r="T232" i="4"/>
  <c r="X232" i="4"/>
  <c r="Y232" i="4"/>
  <c r="R232" i="4"/>
  <c r="S232" i="4" s="1"/>
  <c r="Q91" i="4"/>
  <c r="W91" i="4"/>
  <c r="Z233" i="4"/>
  <c r="AA233" i="4" s="1"/>
  <c r="O233" i="4"/>
  <c r="G93" i="4"/>
  <c r="L93" i="4"/>
  <c r="E94" i="4"/>
  <c r="E234" i="4"/>
  <c r="L234" i="4" s="1"/>
  <c r="M234" i="4"/>
  <c r="Q232" i="4"/>
  <c r="W232" i="4"/>
  <c r="T233" i="4" l="1"/>
  <c r="V233" i="4" s="1"/>
  <c r="F90" i="10"/>
  <c r="Y233" i="4"/>
  <c r="P234" i="4"/>
  <c r="X234" i="4" s="1"/>
  <c r="U233" i="4"/>
  <c r="P93" i="4"/>
  <c r="Z93" i="4"/>
  <c r="AA93" i="4" s="1"/>
  <c r="O93" i="4"/>
  <c r="U232" i="4"/>
  <c r="V232" i="4"/>
  <c r="D237" i="4"/>
  <c r="N236" i="4"/>
  <c r="G236" i="4"/>
  <c r="U91" i="4"/>
  <c r="V91" i="4"/>
  <c r="Z234" i="4"/>
  <c r="AA234" i="4" s="1"/>
  <c r="O234" i="4"/>
  <c r="Q233" i="4"/>
  <c r="W233" i="4"/>
  <c r="R92" i="4"/>
  <c r="S92" i="4" s="1"/>
  <c r="T92" i="4"/>
  <c r="X92" i="4"/>
  <c r="Y92" i="4"/>
  <c r="G94" i="4"/>
  <c r="L94" i="4"/>
  <c r="E95" i="4"/>
  <c r="W92" i="4"/>
  <c r="Q92" i="4"/>
  <c r="E235" i="4"/>
  <c r="L235" i="4" s="1"/>
  <c r="M235" i="4"/>
  <c r="F91" i="10" l="1"/>
  <c r="R234" i="4"/>
  <c r="S234" i="4" s="1"/>
  <c r="Y234" i="4"/>
  <c r="P235" i="4"/>
  <c r="Y235" i="4" s="1"/>
  <c r="D238" i="4"/>
  <c r="N237" i="4"/>
  <c r="G237" i="4"/>
  <c r="G95" i="4"/>
  <c r="L95" i="4"/>
  <c r="E96" i="4"/>
  <c r="T93" i="4"/>
  <c r="X93" i="4"/>
  <c r="Y93" i="4"/>
  <c r="R93" i="4"/>
  <c r="S93" i="4" s="1"/>
  <c r="Z235" i="4"/>
  <c r="AA235" i="4" s="1"/>
  <c r="O235" i="4"/>
  <c r="Z94" i="4"/>
  <c r="AA94" i="4" s="1"/>
  <c r="O94" i="4"/>
  <c r="P94" i="4"/>
  <c r="V92" i="4"/>
  <c r="U92" i="4"/>
  <c r="Q234" i="4"/>
  <c r="W234" i="4"/>
  <c r="E236" i="4"/>
  <c r="L236" i="4" s="1"/>
  <c r="M236" i="4"/>
  <c r="T234" i="4"/>
  <c r="Q93" i="4"/>
  <c r="W93" i="4"/>
  <c r="F92" i="10" l="1"/>
  <c r="X235" i="4"/>
  <c r="R235" i="4"/>
  <c r="S235" i="4" s="1"/>
  <c r="Z236" i="4"/>
  <c r="AA236" i="4" s="1"/>
  <c r="O236" i="4"/>
  <c r="Q235" i="4"/>
  <c r="W235" i="4"/>
  <c r="T235" i="4"/>
  <c r="R94" i="4"/>
  <c r="S94" i="4" s="1"/>
  <c r="X94" i="4"/>
  <c r="Y94" i="4"/>
  <c r="T94" i="4"/>
  <c r="U93" i="4"/>
  <c r="V93" i="4"/>
  <c r="E237" i="4"/>
  <c r="L237" i="4" s="1"/>
  <c r="M237" i="4"/>
  <c r="U234" i="4"/>
  <c r="V234" i="4"/>
  <c r="W94" i="4"/>
  <c r="Q94" i="4"/>
  <c r="G96" i="4"/>
  <c r="L96" i="4"/>
  <c r="E97" i="4"/>
  <c r="P236" i="4"/>
  <c r="P95" i="4"/>
  <c r="O95" i="4"/>
  <c r="Z95" i="4"/>
  <c r="AA95" i="4" s="1"/>
  <c r="D239" i="4"/>
  <c r="N238" i="4"/>
  <c r="G238" i="4"/>
  <c r="F93" i="10" l="1"/>
  <c r="L97" i="4"/>
  <c r="E98" i="4"/>
  <c r="G97" i="4"/>
  <c r="Z237" i="4"/>
  <c r="AA237" i="4" s="1"/>
  <c r="O237" i="4"/>
  <c r="E238" i="4"/>
  <c r="L238" i="4" s="1"/>
  <c r="M238" i="4"/>
  <c r="Q95" i="4"/>
  <c r="W95" i="4"/>
  <c r="O96" i="4"/>
  <c r="P96" i="4"/>
  <c r="Z96" i="4"/>
  <c r="AA96" i="4" s="1"/>
  <c r="T95" i="4"/>
  <c r="X95" i="4"/>
  <c r="Y95" i="4"/>
  <c r="R95" i="4"/>
  <c r="S95" i="4" s="1"/>
  <c r="Q236" i="4"/>
  <c r="W236" i="4"/>
  <c r="D240" i="4"/>
  <c r="N239" i="4"/>
  <c r="G239" i="4"/>
  <c r="T236" i="4"/>
  <c r="X236" i="4"/>
  <c r="Y236" i="4"/>
  <c r="R236" i="4"/>
  <c r="S236" i="4" s="1"/>
  <c r="P237" i="4"/>
  <c r="V94" i="4"/>
  <c r="U94" i="4"/>
  <c r="U235" i="4"/>
  <c r="V235" i="4"/>
  <c r="F94" i="10" l="1"/>
  <c r="P238" i="4"/>
  <c r="Y238" i="4" s="1"/>
  <c r="D241" i="4"/>
  <c r="N240" i="4"/>
  <c r="G240" i="4"/>
  <c r="R96" i="4"/>
  <c r="S96" i="4" s="1"/>
  <c r="X96" i="4"/>
  <c r="T96" i="4"/>
  <c r="Y96" i="4"/>
  <c r="T237" i="4"/>
  <c r="X237" i="4"/>
  <c r="Y237" i="4"/>
  <c r="R237" i="4"/>
  <c r="S237" i="4" s="1"/>
  <c r="U236" i="4"/>
  <c r="V236" i="4"/>
  <c r="W96" i="4"/>
  <c r="Q96" i="4"/>
  <c r="Z238" i="4"/>
  <c r="AA238" i="4" s="1"/>
  <c r="O238" i="4"/>
  <c r="G98" i="4"/>
  <c r="L98" i="4"/>
  <c r="E99" i="4"/>
  <c r="E239" i="4"/>
  <c r="L239" i="4" s="1"/>
  <c r="M239" i="4"/>
  <c r="U95" i="4"/>
  <c r="V95" i="4"/>
  <c r="Q237" i="4"/>
  <c r="W237" i="4"/>
  <c r="O97" i="4"/>
  <c r="Z97" i="4"/>
  <c r="AA97" i="4" s="1"/>
  <c r="P97" i="4"/>
  <c r="X238" i="4" l="1"/>
  <c r="F95" i="10"/>
  <c r="T238" i="4"/>
  <c r="U238" i="4" s="1"/>
  <c r="R238" i="4"/>
  <c r="S238" i="4" s="1"/>
  <c r="L99" i="4"/>
  <c r="E100" i="4"/>
  <c r="G99" i="4"/>
  <c r="U237" i="4"/>
  <c r="V237" i="4"/>
  <c r="Q97" i="4"/>
  <c r="W97" i="4"/>
  <c r="O98" i="4"/>
  <c r="P98" i="4"/>
  <c r="Z98" i="4"/>
  <c r="AA98" i="4" s="1"/>
  <c r="E240" i="4"/>
  <c r="L240" i="4" s="1"/>
  <c r="M240" i="4"/>
  <c r="P239" i="4"/>
  <c r="U96" i="4"/>
  <c r="V96" i="4"/>
  <c r="Y97" i="4"/>
  <c r="X97" i="4"/>
  <c r="T97" i="4"/>
  <c r="R97" i="4"/>
  <c r="S97" i="4" s="1"/>
  <c r="Z239" i="4"/>
  <c r="AA239" i="4" s="1"/>
  <c r="O239" i="4"/>
  <c r="Q238" i="4"/>
  <c r="W238" i="4"/>
  <c r="D242" i="4"/>
  <c r="N241" i="4"/>
  <c r="G241" i="4"/>
  <c r="F96" i="10" l="1"/>
  <c r="V238" i="4"/>
  <c r="P240" i="4"/>
  <c r="Y240" i="4" s="1"/>
  <c r="E241" i="4"/>
  <c r="L241" i="4" s="1"/>
  <c r="M241" i="4"/>
  <c r="U97" i="4"/>
  <c r="V97" i="4"/>
  <c r="L100" i="4"/>
  <c r="E101" i="4"/>
  <c r="G100" i="4"/>
  <c r="Q239" i="4"/>
  <c r="W239" i="4"/>
  <c r="T239" i="4"/>
  <c r="X239" i="4"/>
  <c r="Y239" i="4"/>
  <c r="R239" i="4"/>
  <c r="S239" i="4" s="1"/>
  <c r="R98" i="4"/>
  <c r="S98" i="4" s="1"/>
  <c r="X98" i="4"/>
  <c r="T98" i="4"/>
  <c r="Y98" i="4"/>
  <c r="O99" i="4"/>
  <c r="Z99" i="4"/>
  <c r="AA99" i="4" s="1"/>
  <c r="P99" i="4"/>
  <c r="D243" i="4"/>
  <c r="N242" i="4"/>
  <c r="G242" i="4"/>
  <c r="W98" i="4"/>
  <c r="Q98" i="4"/>
  <c r="Z240" i="4"/>
  <c r="AA240" i="4" s="1"/>
  <c r="O240" i="4"/>
  <c r="X240" i="4" l="1"/>
  <c r="F97" i="10"/>
  <c r="T240" i="4"/>
  <c r="U240" i="4" s="1"/>
  <c r="R240" i="4"/>
  <c r="S240" i="4" s="1"/>
  <c r="Y99" i="4"/>
  <c r="T99" i="4"/>
  <c r="R99" i="4"/>
  <c r="S99" i="4" s="1"/>
  <c r="X99" i="4"/>
  <c r="V98" i="4"/>
  <c r="U98" i="4"/>
  <c r="Q240" i="4"/>
  <c r="W240" i="4"/>
  <c r="E242" i="4"/>
  <c r="L242" i="4" s="1"/>
  <c r="M242" i="4"/>
  <c r="Q99" i="4"/>
  <c r="W99" i="4"/>
  <c r="U239" i="4"/>
  <c r="V239" i="4"/>
  <c r="G101" i="4"/>
  <c r="E102" i="4"/>
  <c r="L101" i="4"/>
  <c r="P241" i="4"/>
  <c r="D244" i="4"/>
  <c r="N243" i="4"/>
  <c r="G243" i="4"/>
  <c r="O100" i="4"/>
  <c r="P100" i="4"/>
  <c r="Z100" i="4"/>
  <c r="AA100" i="4" s="1"/>
  <c r="Z241" i="4"/>
  <c r="AA241" i="4" s="1"/>
  <c r="O241" i="4"/>
  <c r="F98" i="10" l="1"/>
  <c r="V240" i="4"/>
  <c r="Q241" i="4"/>
  <c r="W241" i="4"/>
  <c r="W100" i="4"/>
  <c r="Q100" i="4"/>
  <c r="T241" i="4"/>
  <c r="X241" i="4"/>
  <c r="Y241" i="4"/>
  <c r="R241" i="4"/>
  <c r="S241" i="4" s="1"/>
  <c r="P242" i="4"/>
  <c r="U99" i="4"/>
  <c r="V99" i="4"/>
  <c r="E243" i="4"/>
  <c r="L243" i="4" s="1"/>
  <c r="M243" i="4"/>
  <c r="Z101" i="4"/>
  <c r="AA101" i="4" s="1"/>
  <c r="O101" i="4"/>
  <c r="P101" i="4"/>
  <c r="Z242" i="4"/>
  <c r="AA242" i="4" s="1"/>
  <c r="O242" i="4"/>
  <c r="G102" i="4"/>
  <c r="L102" i="4"/>
  <c r="E103" i="4"/>
  <c r="R100" i="4"/>
  <c r="S100" i="4" s="1"/>
  <c r="X100" i="4"/>
  <c r="T100" i="4"/>
  <c r="Y100" i="4"/>
  <c r="D245" i="4"/>
  <c r="N244" i="4"/>
  <c r="G244" i="4"/>
  <c r="F99" i="10" l="1"/>
  <c r="E244" i="4"/>
  <c r="L244" i="4" s="1"/>
  <c r="M244" i="4"/>
  <c r="U100" i="4"/>
  <c r="V100" i="4"/>
  <c r="P102" i="4"/>
  <c r="Z102" i="4"/>
  <c r="AA102" i="4" s="1"/>
  <c r="O102" i="4"/>
  <c r="R101" i="4"/>
  <c r="S101" i="4" s="1"/>
  <c r="T101" i="4"/>
  <c r="X101" i="4"/>
  <c r="Y101" i="4"/>
  <c r="Z243" i="4"/>
  <c r="AA243" i="4" s="1"/>
  <c r="O243" i="4"/>
  <c r="W101" i="4"/>
  <c r="Q101" i="4"/>
  <c r="D246" i="4"/>
  <c r="N245" i="4"/>
  <c r="G245" i="4"/>
  <c r="Q242" i="4"/>
  <c r="W242" i="4"/>
  <c r="G103" i="4"/>
  <c r="L103" i="4"/>
  <c r="E104" i="4"/>
  <c r="P243" i="4"/>
  <c r="T242" i="4"/>
  <c r="X242" i="4"/>
  <c r="Y242" i="4"/>
  <c r="R242" i="4"/>
  <c r="S242" i="4" s="1"/>
  <c r="U241" i="4"/>
  <c r="V241" i="4"/>
  <c r="F100" i="10" l="1"/>
  <c r="T243" i="4"/>
  <c r="X243" i="4"/>
  <c r="Y243" i="4"/>
  <c r="R243" i="4"/>
  <c r="S243" i="4" s="1"/>
  <c r="N246" i="4"/>
  <c r="D247" i="4"/>
  <c r="G246" i="4"/>
  <c r="G104" i="4"/>
  <c r="L104" i="4"/>
  <c r="E105" i="4"/>
  <c r="Q102" i="4"/>
  <c r="W102" i="4"/>
  <c r="Z103" i="4"/>
  <c r="AA103" i="4" s="1"/>
  <c r="O103" i="4"/>
  <c r="P103" i="4"/>
  <c r="E245" i="4"/>
  <c r="L245" i="4" s="1"/>
  <c r="M245" i="4"/>
  <c r="P244" i="4"/>
  <c r="U242" i="4"/>
  <c r="V242" i="4"/>
  <c r="Q243" i="4"/>
  <c r="W243" i="4"/>
  <c r="V101" i="4"/>
  <c r="U101" i="4"/>
  <c r="T102" i="4"/>
  <c r="X102" i="4"/>
  <c r="Y102" i="4"/>
  <c r="R102" i="4"/>
  <c r="S102" i="4" s="1"/>
  <c r="Z244" i="4"/>
  <c r="AA244" i="4" s="1"/>
  <c r="O244" i="4"/>
  <c r="F101" i="10" l="1"/>
  <c r="Z245" i="4"/>
  <c r="AA245" i="4" s="1"/>
  <c r="O245" i="4"/>
  <c r="R103" i="4"/>
  <c r="S103" i="4" s="1"/>
  <c r="T103" i="4"/>
  <c r="X103" i="4"/>
  <c r="Y103" i="4"/>
  <c r="E246" i="4"/>
  <c r="L246" i="4" s="1"/>
  <c r="M246" i="4"/>
  <c r="Q244" i="4"/>
  <c r="W244" i="4"/>
  <c r="T244" i="4"/>
  <c r="X244" i="4"/>
  <c r="Y244" i="4"/>
  <c r="R244" i="4"/>
  <c r="S244" i="4" s="1"/>
  <c r="W103" i="4"/>
  <c r="Q103" i="4"/>
  <c r="G105" i="4"/>
  <c r="L105" i="4"/>
  <c r="E106" i="4"/>
  <c r="N247" i="4"/>
  <c r="G247" i="4"/>
  <c r="D248" i="4"/>
  <c r="U102" i="4"/>
  <c r="V102" i="4"/>
  <c r="P245" i="4"/>
  <c r="P104" i="4"/>
  <c r="Z104" i="4"/>
  <c r="AA104" i="4" s="1"/>
  <c r="O104" i="4"/>
  <c r="U243" i="4"/>
  <c r="V243" i="4"/>
  <c r="F102" i="10" l="1"/>
  <c r="Q104" i="4"/>
  <c r="W104" i="4"/>
  <c r="P246" i="4"/>
  <c r="V103" i="4"/>
  <c r="U103" i="4"/>
  <c r="G106" i="4"/>
  <c r="L106" i="4"/>
  <c r="E107" i="4"/>
  <c r="U244" i="4"/>
  <c r="V244" i="4"/>
  <c r="Z246" i="4"/>
  <c r="AA246" i="4" s="1"/>
  <c r="O246" i="4"/>
  <c r="T104" i="4"/>
  <c r="X104" i="4"/>
  <c r="Y104" i="4"/>
  <c r="R104" i="4"/>
  <c r="S104" i="4" s="1"/>
  <c r="N248" i="4"/>
  <c r="G248" i="4"/>
  <c r="D249" i="4"/>
  <c r="Z105" i="4"/>
  <c r="AA105" i="4" s="1"/>
  <c r="O105" i="4"/>
  <c r="P105" i="4"/>
  <c r="Q245" i="4"/>
  <c r="W245" i="4"/>
  <c r="T245" i="4"/>
  <c r="X245" i="4"/>
  <c r="Y245" i="4"/>
  <c r="R245" i="4"/>
  <c r="S245" i="4" s="1"/>
  <c r="E247" i="4"/>
  <c r="L247" i="4" s="1"/>
  <c r="M247" i="4"/>
  <c r="F103" i="10" l="1"/>
  <c r="P247" i="4"/>
  <c r="R247" i="4" s="1"/>
  <c r="S247" i="4" s="1"/>
  <c r="W246" i="4"/>
  <c r="Q246" i="4"/>
  <c r="G107" i="4"/>
  <c r="E108" i="4"/>
  <c r="L107" i="4"/>
  <c r="N249" i="4"/>
  <c r="G249" i="4"/>
  <c r="D250" i="4"/>
  <c r="P106" i="4"/>
  <c r="Z106" i="4"/>
  <c r="AA106" i="4" s="1"/>
  <c r="O106" i="4"/>
  <c r="T246" i="4"/>
  <c r="X246" i="4"/>
  <c r="R246" i="4"/>
  <c r="S246" i="4" s="1"/>
  <c r="Y246" i="4"/>
  <c r="X247" i="4"/>
  <c r="R105" i="4"/>
  <c r="S105" i="4" s="1"/>
  <c r="T105" i="4"/>
  <c r="X105" i="4"/>
  <c r="Y105" i="4"/>
  <c r="E248" i="4"/>
  <c r="L248" i="4" s="1"/>
  <c r="M248" i="4"/>
  <c r="Z247" i="4"/>
  <c r="AA247" i="4" s="1"/>
  <c r="O247" i="4"/>
  <c r="U245" i="4"/>
  <c r="V245" i="4"/>
  <c r="W105" i="4"/>
  <c r="Q105" i="4"/>
  <c r="U104" i="4"/>
  <c r="V104" i="4"/>
  <c r="Y247" i="4" l="1"/>
  <c r="F104" i="10"/>
  <c r="W247" i="4"/>
  <c r="Q247" i="4"/>
  <c r="Q106" i="4"/>
  <c r="W106" i="4"/>
  <c r="E249" i="4"/>
  <c r="L249" i="4" s="1"/>
  <c r="M249" i="4"/>
  <c r="P248" i="4"/>
  <c r="V105" i="4"/>
  <c r="U105" i="4"/>
  <c r="T106" i="4"/>
  <c r="X106" i="4"/>
  <c r="Y106" i="4"/>
  <c r="R106" i="4"/>
  <c r="S106" i="4" s="1"/>
  <c r="Z107" i="4"/>
  <c r="AA107" i="4" s="1"/>
  <c r="O107" i="4"/>
  <c r="P107" i="4"/>
  <c r="Z248" i="4"/>
  <c r="AA248" i="4" s="1"/>
  <c r="O248" i="4"/>
  <c r="T247" i="4"/>
  <c r="V246" i="4"/>
  <c r="U246" i="4"/>
  <c r="N250" i="4"/>
  <c r="G250" i="4"/>
  <c r="D251" i="4"/>
  <c r="G108" i="4"/>
  <c r="L108" i="4"/>
  <c r="E109" i="4"/>
  <c r="F105" i="10" l="1"/>
  <c r="N251" i="4"/>
  <c r="D252" i="4"/>
  <c r="G251" i="4"/>
  <c r="R107" i="4"/>
  <c r="S107" i="4" s="1"/>
  <c r="T107" i="4"/>
  <c r="X107" i="4"/>
  <c r="Y107" i="4"/>
  <c r="G109" i="4"/>
  <c r="E110" i="4"/>
  <c r="L109" i="4"/>
  <c r="E250" i="4"/>
  <c r="L250" i="4" s="1"/>
  <c r="M250" i="4"/>
  <c r="V247" i="4"/>
  <c r="U247" i="4"/>
  <c r="W107" i="4"/>
  <c r="Q107" i="4"/>
  <c r="T248" i="4"/>
  <c r="X248" i="4"/>
  <c r="R248" i="4"/>
  <c r="S248" i="4" s="1"/>
  <c r="Y248" i="4"/>
  <c r="P108" i="4"/>
  <c r="Z108" i="4"/>
  <c r="AA108" i="4" s="1"/>
  <c r="O108" i="4"/>
  <c r="Q248" i="4"/>
  <c r="W248" i="4"/>
  <c r="U106" i="4"/>
  <c r="V106" i="4"/>
  <c r="P249" i="4"/>
  <c r="Z249" i="4"/>
  <c r="AA249" i="4" s="1"/>
  <c r="O249" i="4"/>
  <c r="F106" i="10" l="1"/>
  <c r="T249" i="4"/>
  <c r="X249" i="4"/>
  <c r="R249" i="4"/>
  <c r="S249" i="4" s="1"/>
  <c r="Y249" i="4"/>
  <c r="P250" i="4"/>
  <c r="Q108" i="4"/>
  <c r="W108" i="4"/>
  <c r="Z250" i="4"/>
  <c r="AA250" i="4" s="1"/>
  <c r="O250" i="4"/>
  <c r="E251" i="4"/>
  <c r="L251" i="4" s="1"/>
  <c r="M251" i="4"/>
  <c r="W249" i="4"/>
  <c r="Q249" i="4"/>
  <c r="Z109" i="4"/>
  <c r="AA109" i="4" s="1"/>
  <c r="O109" i="4"/>
  <c r="P109" i="4"/>
  <c r="N252" i="4"/>
  <c r="G252" i="4"/>
  <c r="D253" i="4"/>
  <c r="T108" i="4"/>
  <c r="X108" i="4"/>
  <c r="Y108" i="4"/>
  <c r="R108" i="4"/>
  <c r="S108" i="4" s="1"/>
  <c r="V248" i="4"/>
  <c r="U248" i="4"/>
  <c r="G110" i="4"/>
  <c r="L110" i="4"/>
  <c r="E111" i="4"/>
  <c r="V107" i="4"/>
  <c r="U107" i="4"/>
  <c r="F107" i="10" l="1"/>
  <c r="P251" i="4"/>
  <c r="X251" i="4" s="1"/>
  <c r="G111" i="4"/>
  <c r="L111" i="4"/>
  <c r="E112" i="4"/>
  <c r="U108" i="4"/>
  <c r="V108" i="4"/>
  <c r="R109" i="4"/>
  <c r="S109" i="4" s="1"/>
  <c r="T109" i="4"/>
  <c r="X109" i="4"/>
  <c r="Y109" i="4"/>
  <c r="P110" i="4"/>
  <c r="Z110" i="4"/>
  <c r="AA110" i="4" s="1"/>
  <c r="O110" i="4"/>
  <c r="D254" i="4"/>
  <c r="N253" i="4"/>
  <c r="G253" i="4"/>
  <c r="W109" i="4"/>
  <c r="Q109" i="4"/>
  <c r="E252" i="4"/>
  <c r="L252" i="4" s="1"/>
  <c r="M252" i="4"/>
  <c r="Z251" i="4"/>
  <c r="AA251" i="4" s="1"/>
  <c r="O251" i="4"/>
  <c r="Q250" i="4"/>
  <c r="W250" i="4"/>
  <c r="R250" i="4"/>
  <c r="S250" i="4" s="1"/>
  <c r="X250" i="4"/>
  <c r="T250" i="4"/>
  <c r="Y250" i="4"/>
  <c r="V249" i="4"/>
  <c r="U249" i="4"/>
  <c r="F108" i="10" l="1"/>
  <c r="R251" i="4"/>
  <c r="S251" i="4" s="1"/>
  <c r="T251" i="4"/>
  <c r="V251" i="4" s="1"/>
  <c r="Y251" i="4"/>
  <c r="P252" i="4"/>
  <c r="R252" i="4" s="1"/>
  <c r="S252" i="4" s="1"/>
  <c r="Q110" i="4"/>
  <c r="W110" i="4"/>
  <c r="E253" i="4"/>
  <c r="L253" i="4" s="1"/>
  <c r="M253" i="4"/>
  <c r="V109" i="4"/>
  <c r="U109" i="4"/>
  <c r="G112" i="4"/>
  <c r="L112" i="4"/>
  <c r="E113" i="4"/>
  <c r="V250" i="4"/>
  <c r="U250" i="4"/>
  <c r="Z252" i="4"/>
  <c r="AA252" i="4" s="1"/>
  <c r="O252" i="4"/>
  <c r="T110" i="4"/>
  <c r="X110" i="4"/>
  <c r="Y110" i="4"/>
  <c r="R110" i="4"/>
  <c r="S110" i="4" s="1"/>
  <c r="Z111" i="4"/>
  <c r="AA111" i="4" s="1"/>
  <c r="O111" i="4"/>
  <c r="P111" i="4"/>
  <c r="Q251" i="4"/>
  <c r="W251" i="4"/>
  <c r="D255" i="4"/>
  <c r="N254" i="4"/>
  <c r="G254" i="4"/>
  <c r="F109" i="10" l="1"/>
  <c r="U251" i="4"/>
  <c r="Y252" i="4"/>
  <c r="X252" i="4"/>
  <c r="U110" i="4"/>
  <c r="V110" i="4"/>
  <c r="E254" i="4"/>
  <c r="L254" i="4" s="1"/>
  <c r="M254" i="4"/>
  <c r="Q252" i="4"/>
  <c r="W252" i="4"/>
  <c r="G113" i="4"/>
  <c r="L113" i="4"/>
  <c r="E114" i="4"/>
  <c r="T252" i="4"/>
  <c r="R111" i="4"/>
  <c r="S111" i="4" s="1"/>
  <c r="T111" i="4"/>
  <c r="X111" i="4"/>
  <c r="Y111" i="4"/>
  <c r="P112" i="4"/>
  <c r="Z112" i="4"/>
  <c r="AA112" i="4" s="1"/>
  <c r="O112" i="4"/>
  <c r="P253" i="4"/>
  <c r="D256" i="4"/>
  <c r="N255" i="4"/>
  <c r="G255" i="4"/>
  <c r="W111" i="4"/>
  <c r="Q111" i="4"/>
  <c r="Z253" i="4"/>
  <c r="AA253" i="4" s="1"/>
  <c r="O253" i="4"/>
  <c r="F110" i="10" l="1"/>
  <c r="V111" i="4"/>
  <c r="U111" i="4"/>
  <c r="Z113" i="4"/>
  <c r="AA113" i="4" s="1"/>
  <c r="O113" i="4"/>
  <c r="P113" i="4"/>
  <c r="P254" i="4"/>
  <c r="D257" i="4"/>
  <c r="N256" i="4"/>
  <c r="G256" i="4"/>
  <c r="T112" i="4"/>
  <c r="X112" i="4"/>
  <c r="Y112" i="4"/>
  <c r="R112" i="4"/>
  <c r="S112" i="4" s="1"/>
  <c r="Z254" i="4"/>
  <c r="AA254" i="4" s="1"/>
  <c r="O254" i="4"/>
  <c r="T253" i="4"/>
  <c r="X253" i="4"/>
  <c r="Y253" i="4"/>
  <c r="R253" i="4"/>
  <c r="S253" i="4" s="1"/>
  <c r="V252" i="4"/>
  <c r="U252" i="4"/>
  <c r="Q253" i="4"/>
  <c r="W253" i="4"/>
  <c r="E255" i="4"/>
  <c r="L255" i="4" s="1"/>
  <c r="M255" i="4"/>
  <c r="Q112" i="4"/>
  <c r="W112" i="4"/>
  <c r="G114" i="4"/>
  <c r="L114" i="4"/>
  <c r="E115" i="4"/>
  <c r="F111" i="10" l="1"/>
  <c r="Z255" i="4"/>
  <c r="AA255" i="4" s="1"/>
  <c r="O255" i="4"/>
  <c r="U253" i="4"/>
  <c r="V253" i="4"/>
  <c r="W113" i="4"/>
  <c r="Q113" i="4"/>
  <c r="Q254" i="4"/>
  <c r="W254" i="4"/>
  <c r="D258" i="4"/>
  <c r="N257" i="4"/>
  <c r="G257" i="4"/>
  <c r="G115" i="4"/>
  <c r="E116" i="4"/>
  <c r="L115" i="4"/>
  <c r="U112" i="4"/>
  <c r="V112" i="4"/>
  <c r="T254" i="4"/>
  <c r="X254" i="4"/>
  <c r="Y254" i="4"/>
  <c r="R254" i="4"/>
  <c r="S254" i="4" s="1"/>
  <c r="P114" i="4"/>
  <c r="Z114" i="4"/>
  <c r="AA114" i="4" s="1"/>
  <c r="O114" i="4"/>
  <c r="P255" i="4"/>
  <c r="E256" i="4"/>
  <c r="L256" i="4" s="1"/>
  <c r="M256" i="4"/>
  <c r="R113" i="4"/>
  <c r="S113" i="4" s="1"/>
  <c r="T113" i="4"/>
  <c r="X113" i="4"/>
  <c r="Y113" i="4"/>
  <c r="F112" i="10" l="1"/>
  <c r="P256" i="4"/>
  <c r="R256" i="4" s="1"/>
  <c r="S256" i="4" s="1"/>
  <c r="V113" i="4"/>
  <c r="U113" i="4"/>
  <c r="T255" i="4"/>
  <c r="X255" i="4"/>
  <c r="Y255" i="4"/>
  <c r="R255" i="4"/>
  <c r="S255" i="4" s="1"/>
  <c r="Q114" i="4"/>
  <c r="W114" i="4"/>
  <c r="E257" i="4"/>
  <c r="L257" i="4" s="1"/>
  <c r="M257" i="4"/>
  <c r="Z115" i="4"/>
  <c r="AA115" i="4" s="1"/>
  <c r="O115" i="4"/>
  <c r="P115" i="4"/>
  <c r="Q255" i="4"/>
  <c r="W255" i="4"/>
  <c r="Z256" i="4"/>
  <c r="AA256" i="4" s="1"/>
  <c r="O256" i="4"/>
  <c r="T114" i="4"/>
  <c r="X114" i="4"/>
  <c r="Y114" i="4"/>
  <c r="R114" i="4"/>
  <c r="S114" i="4" s="1"/>
  <c r="U254" i="4"/>
  <c r="V254" i="4"/>
  <c r="G116" i="4"/>
  <c r="L116" i="4"/>
  <c r="E117" i="4"/>
  <c r="D259" i="4"/>
  <c r="N258" i="4"/>
  <c r="G258" i="4"/>
  <c r="T256" i="4" l="1"/>
  <c r="V256" i="4" s="1"/>
  <c r="F113" i="10"/>
  <c r="X256" i="4"/>
  <c r="Y256" i="4"/>
  <c r="W115" i="4"/>
  <c r="Q115" i="4"/>
  <c r="D260" i="4"/>
  <c r="N259" i="4"/>
  <c r="G259" i="4"/>
  <c r="U255" i="4"/>
  <c r="V255" i="4"/>
  <c r="G117" i="4"/>
  <c r="E118" i="4"/>
  <c r="L117" i="4"/>
  <c r="U114" i="4"/>
  <c r="V114" i="4"/>
  <c r="P257" i="4"/>
  <c r="E258" i="4"/>
  <c r="L258" i="4" s="1"/>
  <c r="M258" i="4"/>
  <c r="P116" i="4"/>
  <c r="Z116" i="4"/>
  <c r="AA116" i="4" s="1"/>
  <c r="O116" i="4"/>
  <c r="Q256" i="4"/>
  <c r="W256" i="4"/>
  <c r="R115" i="4"/>
  <c r="S115" i="4" s="1"/>
  <c r="T115" i="4"/>
  <c r="X115" i="4"/>
  <c r="Y115" i="4"/>
  <c r="Z257" i="4"/>
  <c r="AA257" i="4" s="1"/>
  <c r="O257" i="4"/>
  <c r="U256" i="4" l="1"/>
  <c r="F114" i="10"/>
  <c r="Q257" i="4"/>
  <c r="W257" i="4"/>
  <c r="V115" i="4"/>
  <c r="U115" i="4"/>
  <c r="Q116" i="4"/>
  <c r="W116" i="4"/>
  <c r="Z258" i="4"/>
  <c r="AA258" i="4" s="1"/>
  <c r="O258" i="4"/>
  <c r="Z117" i="4"/>
  <c r="AA117" i="4" s="1"/>
  <c r="O117" i="4"/>
  <c r="P117" i="4"/>
  <c r="T257" i="4"/>
  <c r="X257" i="4"/>
  <c r="Y257" i="4"/>
  <c r="R257" i="4"/>
  <c r="S257" i="4" s="1"/>
  <c r="G118" i="4"/>
  <c r="L118" i="4"/>
  <c r="E119" i="4"/>
  <c r="F259" i="4"/>
  <c r="E259" i="4"/>
  <c r="L259" i="4" s="1"/>
  <c r="T116" i="4"/>
  <c r="X116" i="4"/>
  <c r="Y116" i="4"/>
  <c r="R116" i="4"/>
  <c r="S116" i="4" s="1"/>
  <c r="P258" i="4"/>
  <c r="N260" i="4"/>
  <c r="D261" i="4"/>
  <c r="G260" i="4"/>
  <c r="F115" i="10" l="1"/>
  <c r="U257" i="4"/>
  <c r="V257" i="4"/>
  <c r="Q258" i="4"/>
  <c r="W258" i="4"/>
  <c r="T258" i="4"/>
  <c r="X258" i="4"/>
  <c r="Y258" i="4"/>
  <c r="R258" i="4"/>
  <c r="S258" i="4" s="1"/>
  <c r="U116" i="4"/>
  <c r="V116" i="4"/>
  <c r="R117" i="4"/>
  <c r="S117" i="4" s="1"/>
  <c r="T117" i="4"/>
  <c r="X117" i="4"/>
  <c r="Y117" i="4"/>
  <c r="F260" i="4"/>
  <c r="E260" i="4"/>
  <c r="L260" i="4" s="1"/>
  <c r="Z259" i="4"/>
  <c r="AA259" i="4" s="1"/>
  <c r="G119" i="4"/>
  <c r="L119" i="4"/>
  <c r="E120" i="4"/>
  <c r="W117" i="4"/>
  <c r="Q117" i="4"/>
  <c r="N261" i="4"/>
  <c r="G261" i="4"/>
  <c r="H259" i="4"/>
  <c r="J259" i="4" s="1"/>
  <c r="M259" i="4" s="1"/>
  <c r="I259" i="4"/>
  <c r="P118" i="4"/>
  <c r="Z118" i="4"/>
  <c r="AA118" i="4" s="1"/>
  <c r="O118" i="4"/>
  <c r="F116" i="10" l="1"/>
  <c r="Q118" i="4"/>
  <c r="W118" i="4"/>
  <c r="V117" i="4"/>
  <c r="U117" i="4"/>
  <c r="F261" i="4"/>
  <c r="E261" i="4"/>
  <c r="L261" i="4" s="1"/>
  <c r="G120" i="4"/>
  <c r="L120" i="4"/>
  <c r="E121" i="4"/>
  <c r="O259" i="4"/>
  <c r="H260" i="4"/>
  <c r="J260" i="4" s="1"/>
  <c r="M260" i="4" s="1"/>
  <c r="O260" i="4" s="1"/>
  <c r="I260" i="4"/>
  <c r="T118" i="4"/>
  <c r="X118" i="4"/>
  <c r="Y118" i="4"/>
  <c r="R118" i="4"/>
  <c r="S118" i="4" s="1"/>
  <c r="Z119" i="4"/>
  <c r="AA119" i="4" s="1"/>
  <c r="O119" i="4"/>
  <c r="P119" i="4"/>
  <c r="Z260" i="4"/>
  <c r="AA260" i="4" s="1"/>
  <c r="K259" i="4"/>
  <c r="P259" i="4" s="1"/>
  <c r="U258" i="4"/>
  <c r="V258" i="4"/>
  <c r="F117" i="10" l="1"/>
  <c r="K260" i="4"/>
  <c r="T259" i="4"/>
  <c r="X259" i="4"/>
  <c r="Y259" i="4"/>
  <c r="R259" i="4"/>
  <c r="S259" i="4" s="1"/>
  <c r="W260" i="4"/>
  <c r="Q260" i="4"/>
  <c r="U118" i="4"/>
  <c r="V118" i="4"/>
  <c r="G121" i="4"/>
  <c r="L121" i="4"/>
  <c r="P120" i="4"/>
  <c r="Z120" i="4"/>
  <c r="AA120" i="4" s="1"/>
  <c r="O120" i="4"/>
  <c r="I261" i="4"/>
  <c r="I262" i="4" s="1"/>
  <c r="K262" i="4" s="1"/>
  <c r="P262" i="4" s="1"/>
  <c r="H261" i="4"/>
  <c r="J261" i="4" s="1"/>
  <c r="M261" i="4" s="1"/>
  <c r="R119" i="4"/>
  <c r="S119" i="4" s="1"/>
  <c r="T119" i="4"/>
  <c r="X119" i="4"/>
  <c r="Y119" i="4"/>
  <c r="P260" i="4"/>
  <c r="W119" i="4"/>
  <c r="Q119" i="4"/>
  <c r="W259" i="4"/>
  <c r="Q259" i="4"/>
  <c r="Z261" i="4"/>
  <c r="AA261" i="4" s="1"/>
  <c r="F118" i="10" l="1"/>
  <c r="T262" i="4"/>
  <c r="X262" i="4"/>
  <c r="Y262" i="4"/>
  <c r="R262" i="4"/>
  <c r="S262" i="4" s="1"/>
  <c r="R260" i="4"/>
  <c r="S260" i="4" s="1"/>
  <c r="T260" i="4"/>
  <c r="X260" i="4"/>
  <c r="Y260" i="4"/>
  <c r="T120" i="4"/>
  <c r="X120" i="4"/>
  <c r="Y120" i="4"/>
  <c r="R120" i="4"/>
  <c r="S120" i="4" s="1"/>
  <c r="O261" i="4"/>
  <c r="K261" i="4"/>
  <c r="P261" i="4" s="1"/>
  <c r="Z121" i="4"/>
  <c r="AA121" i="4" s="1"/>
  <c r="O121" i="4"/>
  <c r="P121" i="4"/>
  <c r="V119" i="4"/>
  <c r="U119" i="4"/>
  <c r="Q120" i="4"/>
  <c r="W120" i="4"/>
  <c r="U259" i="4"/>
  <c r="V259" i="4"/>
  <c r="F119" i="10" l="1"/>
  <c r="V262" i="4"/>
  <c r="U262" i="4"/>
  <c r="Y261" i="4"/>
  <c r="R261" i="4"/>
  <c r="S261" i="4" s="1"/>
  <c r="T261" i="4"/>
  <c r="X261" i="4"/>
  <c r="R121" i="4"/>
  <c r="S121" i="4" s="1"/>
  <c r="T121" i="4"/>
  <c r="X121" i="4"/>
  <c r="Y121" i="4"/>
  <c r="Q261" i="4"/>
  <c r="W261" i="4"/>
  <c r="K7" i="7" s="1"/>
  <c r="U120" i="4"/>
  <c r="V120" i="4"/>
  <c r="V260" i="4"/>
  <c r="U260" i="4"/>
  <c r="W121" i="4"/>
  <c r="Q121" i="4"/>
  <c r="F120" i="10" l="1"/>
  <c r="C5" i="10"/>
  <c r="C16" i="7"/>
  <c r="U261" i="4"/>
  <c r="V261" i="4"/>
  <c r="V121" i="4"/>
  <c r="U121" i="4"/>
  <c r="D5" i="10" l="1"/>
  <c r="F121" i="10"/>
  <c r="S22" i="2"/>
  <c r="S23" i="2" s="1"/>
  <c r="C262" i="3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24" i="3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3" i="3"/>
  <c r="C11" i="3"/>
  <c r="M14" i="3"/>
  <c r="M16" i="3" s="1"/>
  <c r="I10" i="3"/>
  <c r="B18" i="3"/>
  <c r="F122" i="10" l="1"/>
  <c r="I7" i="3"/>
  <c r="I142" i="3"/>
  <c r="I141" i="3"/>
  <c r="I140" i="3"/>
  <c r="I139" i="3"/>
  <c r="I138" i="3"/>
  <c r="H142" i="3"/>
  <c r="H137" i="3"/>
  <c r="J137" i="3" s="1"/>
  <c r="H136" i="3"/>
  <c r="J136" i="3" s="1"/>
  <c r="H135" i="3"/>
  <c r="J135" i="3" s="1"/>
  <c r="H134" i="3"/>
  <c r="J134" i="3" s="1"/>
  <c r="H133" i="3"/>
  <c r="J133" i="3" s="1"/>
  <c r="H132" i="3"/>
  <c r="J132" i="3" s="1"/>
  <c r="H131" i="3"/>
  <c r="J131" i="3" s="1"/>
  <c r="H130" i="3"/>
  <c r="J130" i="3" s="1"/>
  <c r="H129" i="3"/>
  <c r="J129" i="3" s="1"/>
  <c r="H128" i="3"/>
  <c r="J128" i="3" s="1"/>
  <c r="H127" i="3"/>
  <c r="J127" i="3" s="1"/>
  <c r="H126" i="3"/>
  <c r="J126" i="3" s="1"/>
  <c r="H125" i="3"/>
  <c r="J125" i="3" s="1"/>
  <c r="H124" i="3"/>
  <c r="J124" i="3" s="1"/>
  <c r="H123" i="3"/>
  <c r="J123" i="3" s="1"/>
  <c r="H140" i="3"/>
  <c r="J140" i="3" s="1"/>
  <c r="H138" i="3"/>
  <c r="J138" i="3" s="1"/>
  <c r="I122" i="3"/>
  <c r="H141" i="3"/>
  <c r="J141" i="3" s="1"/>
  <c r="H122" i="3"/>
  <c r="J122" i="3" s="1"/>
  <c r="H139" i="3"/>
  <c r="J139" i="3" s="1"/>
  <c r="I137" i="3"/>
  <c r="I135" i="3"/>
  <c r="K135" i="3" s="1"/>
  <c r="I133" i="3"/>
  <c r="I131" i="3"/>
  <c r="I129" i="3"/>
  <c r="I127" i="3"/>
  <c r="K127" i="3" s="1"/>
  <c r="I125" i="3"/>
  <c r="I123" i="3"/>
  <c r="I136" i="3"/>
  <c r="K136" i="3" s="1"/>
  <c r="I134" i="3"/>
  <c r="I132" i="3"/>
  <c r="I130" i="3"/>
  <c r="I128" i="3"/>
  <c r="K128" i="3" s="1"/>
  <c r="I126" i="3"/>
  <c r="I124" i="3"/>
  <c r="D158" i="3"/>
  <c r="D157" i="3"/>
  <c r="N157" i="3" s="1"/>
  <c r="D156" i="3"/>
  <c r="N156" i="3" s="1"/>
  <c r="D155" i="3"/>
  <c r="N155" i="3" s="1"/>
  <c r="D154" i="3"/>
  <c r="N154" i="3" s="1"/>
  <c r="D153" i="3"/>
  <c r="N153" i="3" s="1"/>
  <c r="D152" i="3"/>
  <c r="N152" i="3" s="1"/>
  <c r="D151" i="3"/>
  <c r="N151" i="3" s="1"/>
  <c r="D150" i="3"/>
  <c r="N150" i="3" s="1"/>
  <c r="D149" i="3"/>
  <c r="N149" i="3" s="1"/>
  <c r="D148" i="3"/>
  <c r="N148" i="3" s="1"/>
  <c r="D147" i="3"/>
  <c r="N147" i="3" s="1"/>
  <c r="D146" i="3"/>
  <c r="N146" i="3" s="1"/>
  <c r="D145" i="3"/>
  <c r="N145" i="3" s="1"/>
  <c r="D144" i="3"/>
  <c r="N144" i="3" s="1"/>
  <c r="D143" i="3"/>
  <c r="N143" i="3" s="1"/>
  <c r="D142" i="3"/>
  <c r="N142" i="3" s="1"/>
  <c r="D141" i="3"/>
  <c r="N141" i="3" s="1"/>
  <c r="D140" i="3"/>
  <c r="N140" i="3" s="1"/>
  <c r="D139" i="3"/>
  <c r="N139" i="3" s="1"/>
  <c r="D138" i="3"/>
  <c r="N138" i="3" s="1"/>
  <c r="D122" i="3"/>
  <c r="N122" i="3" s="1"/>
  <c r="D120" i="3"/>
  <c r="N120" i="3" s="1"/>
  <c r="D118" i="3"/>
  <c r="N118" i="3" s="1"/>
  <c r="D116" i="3"/>
  <c r="N116" i="3" s="1"/>
  <c r="D114" i="3"/>
  <c r="N114" i="3" s="1"/>
  <c r="D112" i="3"/>
  <c r="N112" i="3" s="1"/>
  <c r="D110" i="3"/>
  <c r="N110" i="3" s="1"/>
  <c r="D108" i="3"/>
  <c r="N108" i="3" s="1"/>
  <c r="D106" i="3"/>
  <c r="N106" i="3" s="1"/>
  <c r="D104" i="3"/>
  <c r="N104" i="3" s="1"/>
  <c r="D102" i="3"/>
  <c r="N102" i="3" s="1"/>
  <c r="D100" i="3"/>
  <c r="N100" i="3" s="1"/>
  <c r="D98" i="3"/>
  <c r="N98" i="3" s="1"/>
  <c r="D136" i="3"/>
  <c r="N136" i="3" s="1"/>
  <c r="D134" i="3"/>
  <c r="N134" i="3" s="1"/>
  <c r="D132" i="3"/>
  <c r="N132" i="3" s="1"/>
  <c r="D130" i="3"/>
  <c r="N130" i="3" s="1"/>
  <c r="D128" i="3"/>
  <c r="N128" i="3" s="1"/>
  <c r="D126" i="3"/>
  <c r="N126" i="3" s="1"/>
  <c r="D124" i="3"/>
  <c r="N124" i="3" s="1"/>
  <c r="D115" i="3"/>
  <c r="N115" i="3" s="1"/>
  <c r="D107" i="3"/>
  <c r="N107" i="3" s="1"/>
  <c r="D99" i="3"/>
  <c r="N99" i="3" s="1"/>
  <c r="D96" i="3"/>
  <c r="N96" i="3" s="1"/>
  <c r="D92" i="3"/>
  <c r="N92" i="3" s="1"/>
  <c r="D88" i="3"/>
  <c r="N88" i="3" s="1"/>
  <c r="E21" i="3"/>
  <c r="D121" i="3"/>
  <c r="N121" i="3" s="1"/>
  <c r="D113" i="3"/>
  <c r="N113" i="3" s="1"/>
  <c r="D105" i="3"/>
  <c r="N105" i="3" s="1"/>
  <c r="D97" i="3"/>
  <c r="N97" i="3" s="1"/>
  <c r="D95" i="3"/>
  <c r="N95" i="3" s="1"/>
  <c r="D91" i="3"/>
  <c r="N91" i="3" s="1"/>
  <c r="D87" i="3"/>
  <c r="N87" i="3" s="1"/>
  <c r="D85" i="3"/>
  <c r="N85" i="3" s="1"/>
  <c r="D83" i="3"/>
  <c r="N83" i="3" s="1"/>
  <c r="D81" i="3"/>
  <c r="N81" i="3" s="1"/>
  <c r="D79" i="3"/>
  <c r="N79" i="3" s="1"/>
  <c r="D77" i="3"/>
  <c r="N77" i="3" s="1"/>
  <c r="D75" i="3"/>
  <c r="N75" i="3" s="1"/>
  <c r="D73" i="3"/>
  <c r="N73" i="3" s="1"/>
  <c r="D71" i="3"/>
  <c r="N71" i="3" s="1"/>
  <c r="D69" i="3"/>
  <c r="N69" i="3" s="1"/>
  <c r="D67" i="3"/>
  <c r="N67" i="3" s="1"/>
  <c r="D65" i="3"/>
  <c r="N65" i="3" s="1"/>
  <c r="D63" i="3"/>
  <c r="N63" i="3" s="1"/>
  <c r="D61" i="3"/>
  <c r="N61" i="3" s="1"/>
  <c r="D59" i="3"/>
  <c r="N59" i="3" s="1"/>
  <c r="D57" i="3"/>
  <c r="N57" i="3" s="1"/>
  <c r="D55" i="3"/>
  <c r="N55" i="3" s="1"/>
  <c r="D53" i="3"/>
  <c r="N53" i="3" s="1"/>
  <c r="D51" i="3"/>
  <c r="N51" i="3" s="1"/>
  <c r="D49" i="3"/>
  <c r="N49" i="3" s="1"/>
  <c r="D47" i="3"/>
  <c r="N47" i="3" s="1"/>
  <c r="D45" i="3"/>
  <c r="N45" i="3" s="1"/>
  <c r="D43" i="3"/>
  <c r="N43" i="3" s="1"/>
  <c r="D41" i="3"/>
  <c r="N41" i="3" s="1"/>
  <c r="D39" i="3"/>
  <c r="N39" i="3" s="1"/>
  <c r="D37" i="3"/>
  <c r="N37" i="3" s="1"/>
  <c r="D35" i="3"/>
  <c r="N35" i="3" s="1"/>
  <c r="D137" i="3"/>
  <c r="N137" i="3" s="1"/>
  <c r="D135" i="3"/>
  <c r="N135" i="3" s="1"/>
  <c r="D133" i="3"/>
  <c r="N133" i="3" s="1"/>
  <c r="D131" i="3"/>
  <c r="N131" i="3" s="1"/>
  <c r="D129" i="3"/>
  <c r="N129" i="3" s="1"/>
  <c r="D127" i="3"/>
  <c r="N127" i="3" s="1"/>
  <c r="D125" i="3"/>
  <c r="N125" i="3" s="1"/>
  <c r="D119" i="3"/>
  <c r="N119" i="3" s="1"/>
  <c r="D111" i="3"/>
  <c r="N111" i="3" s="1"/>
  <c r="D103" i="3"/>
  <c r="N103" i="3" s="1"/>
  <c r="D94" i="3"/>
  <c r="N94" i="3" s="1"/>
  <c r="D90" i="3"/>
  <c r="N90" i="3" s="1"/>
  <c r="D123" i="3"/>
  <c r="N123" i="3" s="1"/>
  <c r="D117" i="3"/>
  <c r="N117" i="3" s="1"/>
  <c r="D101" i="3"/>
  <c r="N101" i="3" s="1"/>
  <c r="D82" i="3"/>
  <c r="N82" i="3" s="1"/>
  <c r="D74" i="3"/>
  <c r="N74" i="3" s="1"/>
  <c r="D66" i="3"/>
  <c r="N66" i="3" s="1"/>
  <c r="D58" i="3"/>
  <c r="N58" i="3" s="1"/>
  <c r="D50" i="3"/>
  <c r="N50" i="3" s="1"/>
  <c r="D42" i="3"/>
  <c r="N42" i="3" s="1"/>
  <c r="D93" i="3"/>
  <c r="N93" i="3" s="1"/>
  <c r="D80" i="3"/>
  <c r="N80" i="3" s="1"/>
  <c r="D72" i="3"/>
  <c r="N72" i="3" s="1"/>
  <c r="D64" i="3"/>
  <c r="N64" i="3" s="1"/>
  <c r="D56" i="3"/>
  <c r="N56" i="3" s="1"/>
  <c r="D48" i="3"/>
  <c r="N48" i="3" s="1"/>
  <c r="D40" i="3"/>
  <c r="N40" i="3" s="1"/>
  <c r="D31" i="3"/>
  <c r="N31" i="3" s="1"/>
  <c r="D27" i="3"/>
  <c r="N27" i="3" s="1"/>
  <c r="D89" i="3"/>
  <c r="N89" i="3" s="1"/>
  <c r="D86" i="3"/>
  <c r="N86" i="3" s="1"/>
  <c r="D78" i="3"/>
  <c r="N78" i="3" s="1"/>
  <c r="D70" i="3"/>
  <c r="N70" i="3" s="1"/>
  <c r="D62" i="3"/>
  <c r="N62" i="3" s="1"/>
  <c r="D54" i="3"/>
  <c r="N54" i="3" s="1"/>
  <c r="D46" i="3"/>
  <c r="N46" i="3" s="1"/>
  <c r="D109" i="3"/>
  <c r="N109" i="3" s="1"/>
  <c r="D84" i="3"/>
  <c r="N84" i="3" s="1"/>
  <c r="D76" i="3"/>
  <c r="N76" i="3" s="1"/>
  <c r="D68" i="3"/>
  <c r="N68" i="3" s="1"/>
  <c r="D60" i="3"/>
  <c r="N60" i="3" s="1"/>
  <c r="D52" i="3"/>
  <c r="N52" i="3" s="1"/>
  <c r="D44" i="3"/>
  <c r="N44" i="3" s="1"/>
  <c r="D36" i="3"/>
  <c r="N36" i="3" s="1"/>
  <c r="D33" i="3"/>
  <c r="N33" i="3" s="1"/>
  <c r="D29" i="3"/>
  <c r="N29" i="3" s="1"/>
  <c r="D23" i="3"/>
  <c r="N23" i="3" s="1"/>
  <c r="D34" i="3"/>
  <c r="N34" i="3" s="1"/>
  <c r="D24" i="3"/>
  <c r="N24" i="3" s="1"/>
  <c r="D28" i="3"/>
  <c r="N28" i="3" s="1"/>
  <c r="M9" i="3"/>
  <c r="G157" i="3"/>
  <c r="E157" i="3" s="1"/>
  <c r="G156" i="3"/>
  <c r="E156" i="3" s="1"/>
  <c r="G155" i="3"/>
  <c r="E155" i="3" s="1"/>
  <c r="G154" i="3"/>
  <c r="E154" i="3" s="1"/>
  <c r="G153" i="3"/>
  <c r="E153" i="3" s="1"/>
  <c r="G152" i="3"/>
  <c r="E152" i="3" s="1"/>
  <c r="G151" i="3"/>
  <c r="E151" i="3" s="1"/>
  <c r="G150" i="3"/>
  <c r="E150" i="3" s="1"/>
  <c r="G149" i="3"/>
  <c r="E149" i="3" s="1"/>
  <c r="G148" i="3"/>
  <c r="E148" i="3" s="1"/>
  <c r="G147" i="3"/>
  <c r="E147" i="3" s="1"/>
  <c r="G146" i="3"/>
  <c r="E146" i="3" s="1"/>
  <c r="G145" i="3"/>
  <c r="E145" i="3" s="1"/>
  <c r="G144" i="3"/>
  <c r="E144" i="3" s="1"/>
  <c r="G143" i="3"/>
  <c r="E143" i="3" s="1"/>
  <c r="G142" i="3"/>
  <c r="E142" i="3" s="1"/>
  <c r="G141" i="3"/>
  <c r="G139" i="3"/>
  <c r="G137" i="3"/>
  <c r="G136" i="3"/>
  <c r="E136" i="3" s="1"/>
  <c r="G135" i="3"/>
  <c r="G134" i="3"/>
  <c r="G133" i="3"/>
  <c r="G132" i="3"/>
  <c r="G131" i="3"/>
  <c r="G130" i="3"/>
  <c r="G129" i="3"/>
  <c r="G128" i="3"/>
  <c r="E128" i="3" s="1"/>
  <c r="G127" i="3"/>
  <c r="G126" i="3"/>
  <c r="G125" i="3"/>
  <c r="G124" i="3"/>
  <c r="E124" i="3" s="1"/>
  <c r="G123" i="3"/>
  <c r="G140" i="3"/>
  <c r="G138" i="3"/>
  <c r="D21" i="3"/>
  <c r="N21" i="3" s="1"/>
  <c r="D25" i="3"/>
  <c r="N25" i="3" s="1"/>
  <c r="D26" i="3"/>
  <c r="N26" i="3" s="1"/>
  <c r="D30" i="3"/>
  <c r="N30" i="3" s="1"/>
  <c r="Q13" i="3"/>
  <c r="Q12" i="3"/>
  <c r="Q14" i="3" s="1"/>
  <c r="D22" i="3"/>
  <c r="N22" i="3" s="1"/>
  <c r="D32" i="3"/>
  <c r="N32" i="3" s="1"/>
  <c r="D38" i="3"/>
  <c r="N38" i="3" s="1"/>
  <c r="G277" i="3"/>
  <c r="G273" i="3"/>
  <c r="G269" i="3"/>
  <c r="G265" i="3"/>
  <c r="G274" i="3"/>
  <c r="G270" i="3"/>
  <c r="G272" i="3"/>
  <c r="G267" i="3"/>
  <c r="G271" i="3"/>
  <c r="G268" i="3"/>
  <c r="G263" i="3"/>
  <c r="G275" i="3"/>
  <c r="G276" i="3"/>
  <c r="G266" i="3"/>
  <c r="G264" i="3"/>
  <c r="G262" i="3"/>
  <c r="K123" i="3" l="1"/>
  <c r="K130" i="3"/>
  <c r="F123" i="10"/>
  <c r="K131" i="3"/>
  <c r="M123" i="3"/>
  <c r="M127" i="3"/>
  <c r="M131" i="3"/>
  <c r="M135" i="3"/>
  <c r="M141" i="3"/>
  <c r="L157" i="3"/>
  <c r="Z157" i="3" s="1"/>
  <c r="AA157" i="3" s="1"/>
  <c r="E139" i="3"/>
  <c r="E138" i="3"/>
  <c r="L138" i="3" s="1"/>
  <c r="M140" i="3"/>
  <c r="M126" i="3"/>
  <c r="M130" i="3"/>
  <c r="M134" i="3"/>
  <c r="L124" i="3"/>
  <c r="Z124" i="3" s="1"/>
  <c r="AA124" i="3" s="1"/>
  <c r="L128" i="3"/>
  <c r="Z128" i="3" s="1"/>
  <c r="AA128" i="3" s="1"/>
  <c r="L136" i="3"/>
  <c r="Z136" i="3" s="1"/>
  <c r="AA136" i="3" s="1"/>
  <c r="L142" i="3"/>
  <c r="Z142" i="3" s="1"/>
  <c r="AA142" i="3" s="1"/>
  <c r="L146" i="3"/>
  <c r="Z146" i="3" s="1"/>
  <c r="AA146" i="3" s="1"/>
  <c r="L143" i="3"/>
  <c r="Z143" i="3" s="1"/>
  <c r="AA143" i="3" s="1"/>
  <c r="L147" i="3"/>
  <c r="Z147" i="3" s="1"/>
  <c r="AA147" i="3" s="1"/>
  <c r="L151" i="3"/>
  <c r="Z151" i="3" s="1"/>
  <c r="AA151" i="3" s="1"/>
  <c r="L155" i="3"/>
  <c r="Z155" i="3" s="1"/>
  <c r="AA155" i="3" s="1"/>
  <c r="L139" i="3"/>
  <c r="Z139" i="3" s="1"/>
  <c r="AA139" i="3" s="1"/>
  <c r="L144" i="3"/>
  <c r="Z144" i="3" s="1"/>
  <c r="AA144" i="3" s="1"/>
  <c r="L145" i="3"/>
  <c r="Z145" i="3" s="1"/>
  <c r="AA145" i="3" s="1"/>
  <c r="L149" i="3"/>
  <c r="Z149" i="3" s="1"/>
  <c r="AA149" i="3" s="1"/>
  <c r="L153" i="3"/>
  <c r="Z153" i="3" s="1"/>
  <c r="AA153" i="3" s="1"/>
  <c r="M138" i="3"/>
  <c r="M125" i="3"/>
  <c r="M129" i="3"/>
  <c r="M133" i="3"/>
  <c r="M137" i="3"/>
  <c r="K125" i="3"/>
  <c r="K133" i="3"/>
  <c r="E141" i="3"/>
  <c r="L141" i="3" s="1"/>
  <c r="Z141" i="3" s="1"/>
  <c r="AA141" i="3" s="1"/>
  <c r="E123" i="3"/>
  <c r="L123" i="3" s="1"/>
  <c r="E131" i="3"/>
  <c r="L131" i="3" s="1"/>
  <c r="M132" i="3"/>
  <c r="K124" i="3"/>
  <c r="K132" i="3"/>
  <c r="E126" i="3"/>
  <c r="L126" i="3" s="1"/>
  <c r="Z126" i="3" s="1"/>
  <c r="AA126" i="3" s="1"/>
  <c r="E134" i="3"/>
  <c r="L134" i="3" s="1"/>
  <c r="G122" i="3"/>
  <c r="M122" i="3" s="1"/>
  <c r="E140" i="3"/>
  <c r="L140" i="3" s="1"/>
  <c r="E127" i="3"/>
  <c r="L127" i="3" s="1"/>
  <c r="E135" i="3"/>
  <c r="L135" i="3" s="1"/>
  <c r="E130" i="3"/>
  <c r="L130" i="3" s="1"/>
  <c r="P130" i="3" s="1"/>
  <c r="M136" i="3"/>
  <c r="M139" i="3"/>
  <c r="M128" i="3"/>
  <c r="O128" i="3" s="1"/>
  <c r="K126" i="3"/>
  <c r="K134" i="3"/>
  <c r="M124" i="3"/>
  <c r="O124" i="3" s="1"/>
  <c r="E132" i="3"/>
  <c r="L132" i="3" s="1"/>
  <c r="E125" i="3"/>
  <c r="L125" i="3" s="1"/>
  <c r="E129" i="3"/>
  <c r="L129" i="3" s="1"/>
  <c r="Z129" i="3" s="1"/>
  <c r="AA129" i="3" s="1"/>
  <c r="E133" i="3"/>
  <c r="L133" i="3" s="1"/>
  <c r="E137" i="3"/>
  <c r="L137" i="3" s="1"/>
  <c r="Z137" i="3" s="1"/>
  <c r="AA137" i="3" s="1"/>
  <c r="K129" i="3"/>
  <c r="K137" i="3"/>
  <c r="L150" i="3"/>
  <c r="L154" i="3"/>
  <c r="F262" i="3"/>
  <c r="E262" i="3"/>
  <c r="L262" i="3" s="1"/>
  <c r="D262" i="3"/>
  <c r="N262" i="3" s="1"/>
  <c r="E275" i="3"/>
  <c r="L275" i="3" s="1"/>
  <c r="F275" i="3"/>
  <c r="D275" i="3"/>
  <c r="N275" i="3" s="1"/>
  <c r="E267" i="3"/>
  <c r="L267" i="3" s="1"/>
  <c r="F267" i="3"/>
  <c r="D267" i="3"/>
  <c r="N267" i="3" s="1"/>
  <c r="D265" i="3"/>
  <c r="N265" i="3" s="1"/>
  <c r="F265" i="3"/>
  <c r="E265" i="3"/>
  <c r="L265" i="3" s="1"/>
  <c r="P18" i="3"/>
  <c r="K139" i="3"/>
  <c r="E263" i="3"/>
  <c r="L263" i="3" s="1"/>
  <c r="F263" i="3"/>
  <c r="D263" i="3"/>
  <c r="N263" i="3" s="1"/>
  <c r="D272" i="3"/>
  <c r="N272" i="3" s="1"/>
  <c r="E272" i="3"/>
  <c r="L272" i="3" s="1"/>
  <c r="F272" i="3"/>
  <c r="E269" i="3"/>
  <c r="L269" i="3" s="1"/>
  <c r="D269" i="3"/>
  <c r="N269" i="3" s="1"/>
  <c r="F269" i="3"/>
  <c r="G158" i="3"/>
  <c r="E158" i="3" s="1"/>
  <c r="L158" i="3" s="1"/>
  <c r="N158" i="3"/>
  <c r="D159" i="3"/>
  <c r="K140" i="3"/>
  <c r="E264" i="3"/>
  <c r="L264" i="3" s="1"/>
  <c r="D264" i="3"/>
  <c r="N264" i="3" s="1"/>
  <c r="F264" i="3"/>
  <c r="L148" i="3"/>
  <c r="L152" i="3"/>
  <c r="L156" i="3"/>
  <c r="F266" i="3"/>
  <c r="E266" i="3"/>
  <c r="L266" i="3" s="1"/>
  <c r="D266" i="3"/>
  <c r="N266" i="3" s="1"/>
  <c r="D268" i="3"/>
  <c r="N268" i="3" s="1"/>
  <c r="F268" i="3"/>
  <c r="E268" i="3"/>
  <c r="L268" i="3" s="1"/>
  <c r="F270" i="3"/>
  <c r="E270" i="3"/>
  <c r="L270" i="3" s="1"/>
  <c r="D270" i="3"/>
  <c r="N270" i="3" s="1"/>
  <c r="D273" i="3"/>
  <c r="N273" i="3" s="1"/>
  <c r="F273" i="3"/>
  <c r="E273" i="3"/>
  <c r="L273" i="3" s="1"/>
  <c r="E22" i="3"/>
  <c r="L21" i="3"/>
  <c r="G21" i="3"/>
  <c r="J142" i="3"/>
  <c r="M142" i="3" s="1"/>
  <c r="H156" i="3"/>
  <c r="J156" i="3" s="1"/>
  <c r="M156" i="3" s="1"/>
  <c r="H154" i="3"/>
  <c r="J154" i="3" s="1"/>
  <c r="M154" i="3" s="1"/>
  <c r="H152" i="3"/>
  <c r="J152" i="3" s="1"/>
  <c r="M152" i="3" s="1"/>
  <c r="H150" i="3"/>
  <c r="J150" i="3" s="1"/>
  <c r="M150" i="3" s="1"/>
  <c r="H148" i="3"/>
  <c r="J148" i="3" s="1"/>
  <c r="M148" i="3" s="1"/>
  <c r="H146" i="3"/>
  <c r="J146" i="3" s="1"/>
  <c r="M146" i="3" s="1"/>
  <c r="H144" i="3"/>
  <c r="J144" i="3" s="1"/>
  <c r="M144" i="3" s="1"/>
  <c r="H157" i="3"/>
  <c r="H155" i="3"/>
  <c r="J155" i="3" s="1"/>
  <c r="M155" i="3" s="1"/>
  <c r="H153" i="3"/>
  <c r="J153" i="3" s="1"/>
  <c r="M153" i="3" s="1"/>
  <c r="H151" i="3"/>
  <c r="J151" i="3" s="1"/>
  <c r="M151" i="3" s="1"/>
  <c r="H149" i="3"/>
  <c r="J149" i="3" s="1"/>
  <c r="M149" i="3" s="1"/>
  <c r="H147" i="3"/>
  <c r="J147" i="3" s="1"/>
  <c r="M147" i="3" s="1"/>
  <c r="H145" i="3"/>
  <c r="J145" i="3" s="1"/>
  <c r="M145" i="3" s="1"/>
  <c r="H143" i="3"/>
  <c r="J143" i="3" s="1"/>
  <c r="M143" i="3" s="1"/>
  <c r="K141" i="3"/>
  <c r="D276" i="3"/>
  <c r="N276" i="3" s="1"/>
  <c r="E276" i="3"/>
  <c r="L276" i="3" s="1"/>
  <c r="F276" i="3"/>
  <c r="E271" i="3"/>
  <c r="L271" i="3" s="1"/>
  <c r="F271" i="3"/>
  <c r="D271" i="3"/>
  <c r="N271" i="3" s="1"/>
  <c r="F274" i="3"/>
  <c r="E274" i="3"/>
  <c r="L274" i="3" s="1"/>
  <c r="D274" i="3"/>
  <c r="N274" i="3" s="1"/>
  <c r="D277" i="3"/>
  <c r="N277" i="3" s="1"/>
  <c r="F277" i="3"/>
  <c r="E277" i="3"/>
  <c r="L277" i="3" s="1"/>
  <c r="K138" i="3"/>
  <c r="K142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O123" i="3" l="1"/>
  <c r="O135" i="3"/>
  <c r="F124" i="10"/>
  <c r="P127" i="3"/>
  <c r="X127" i="3" s="1"/>
  <c r="P131" i="3"/>
  <c r="Y131" i="3" s="1"/>
  <c r="P136" i="3"/>
  <c r="R136" i="3" s="1"/>
  <c r="S136" i="3" s="1"/>
  <c r="K155" i="3"/>
  <c r="O140" i="3"/>
  <c r="Q140" i="3" s="1"/>
  <c r="P125" i="3"/>
  <c r="Y125" i="3" s="1"/>
  <c r="Z131" i="3"/>
  <c r="AA131" i="3" s="1"/>
  <c r="O131" i="3"/>
  <c r="Q131" i="3" s="1"/>
  <c r="O126" i="3"/>
  <c r="Q126" i="3" s="1"/>
  <c r="O146" i="3"/>
  <c r="W146" i="3" s="1"/>
  <c r="K147" i="3"/>
  <c r="P147" i="3" s="1"/>
  <c r="O136" i="3"/>
  <c r="W136" i="3" s="1"/>
  <c r="O134" i="3"/>
  <c r="Q134" i="3" s="1"/>
  <c r="O139" i="3"/>
  <c r="Q139" i="3" s="1"/>
  <c r="O138" i="3"/>
  <c r="Q138" i="3" s="1"/>
  <c r="P138" i="3"/>
  <c r="Y138" i="3" s="1"/>
  <c r="Z123" i="3"/>
  <c r="AA123" i="3" s="1"/>
  <c r="Z138" i="3"/>
  <c r="AA138" i="3" s="1"/>
  <c r="O144" i="3"/>
  <c r="W144" i="3" s="1"/>
  <c r="P123" i="3"/>
  <c r="X123" i="3" s="1"/>
  <c r="Z140" i="3"/>
  <c r="AA140" i="3" s="1"/>
  <c r="P135" i="3"/>
  <c r="X135" i="3" s="1"/>
  <c r="K143" i="3"/>
  <c r="P143" i="3" s="1"/>
  <c r="K151" i="3"/>
  <c r="P151" i="3" s="1"/>
  <c r="O141" i="3"/>
  <c r="Q141" i="3" s="1"/>
  <c r="P141" i="3"/>
  <c r="R141" i="3" s="1"/>
  <c r="S141" i="3" s="1"/>
  <c r="P133" i="3"/>
  <c r="R133" i="3" s="1"/>
  <c r="S133" i="3" s="1"/>
  <c r="Z130" i="3"/>
  <c r="AA130" i="3" s="1"/>
  <c r="Z127" i="3"/>
  <c r="AA127" i="3" s="1"/>
  <c r="O129" i="3"/>
  <c r="W129" i="3" s="1"/>
  <c r="O127" i="3"/>
  <c r="W127" i="3" s="1"/>
  <c r="P132" i="3"/>
  <c r="R132" i="3" s="1"/>
  <c r="S132" i="3" s="1"/>
  <c r="K144" i="3"/>
  <c r="P144" i="3" s="1"/>
  <c r="K148" i="3"/>
  <c r="P148" i="3" s="1"/>
  <c r="K152" i="3"/>
  <c r="K156" i="3"/>
  <c r="P156" i="3" s="1"/>
  <c r="O125" i="3"/>
  <c r="W125" i="3" s="1"/>
  <c r="Z125" i="3"/>
  <c r="AA125" i="3" s="1"/>
  <c r="Z135" i="3"/>
  <c r="AA135" i="3" s="1"/>
  <c r="Z134" i="3"/>
  <c r="AA134" i="3" s="1"/>
  <c r="P134" i="3"/>
  <c r="X134" i="3" s="1"/>
  <c r="O137" i="3"/>
  <c r="Q137" i="3" s="1"/>
  <c r="P126" i="3"/>
  <c r="X126" i="3" s="1"/>
  <c r="O130" i="3"/>
  <c r="T130" i="3" s="1"/>
  <c r="E122" i="3"/>
  <c r="L122" i="3" s="1"/>
  <c r="P122" i="3" s="1"/>
  <c r="R122" i="3" s="1"/>
  <c r="S122" i="3" s="1"/>
  <c r="Z132" i="3"/>
  <c r="AA132" i="3" s="1"/>
  <c r="K146" i="3"/>
  <c r="P146" i="3" s="1"/>
  <c r="K154" i="3"/>
  <c r="P154" i="3" s="1"/>
  <c r="K145" i="3"/>
  <c r="P145" i="3" s="1"/>
  <c r="K153" i="3"/>
  <c r="P153" i="3" s="1"/>
  <c r="P137" i="3"/>
  <c r="X137" i="3" s="1"/>
  <c r="X130" i="3"/>
  <c r="R130" i="3"/>
  <c r="S130" i="3" s="1"/>
  <c r="Y130" i="3"/>
  <c r="Z133" i="3"/>
  <c r="AA133" i="3" s="1"/>
  <c r="P140" i="3"/>
  <c r="Y140" i="3" s="1"/>
  <c r="P124" i="3"/>
  <c r="T124" i="3" s="1"/>
  <c r="P139" i="3"/>
  <c r="O133" i="3"/>
  <c r="W133" i="3" s="1"/>
  <c r="P129" i="3"/>
  <c r="K149" i="3"/>
  <c r="P149" i="3" s="1"/>
  <c r="P128" i="3"/>
  <c r="X128" i="3" s="1"/>
  <c r="O132" i="3"/>
  <c r="Q132" i="3" s="1"/>
  <c r="K150" i="3"/>
  <c r="P150" i="3" s="1"/>
  <c r="O145" i="3"/>
  <c r="O153" i="3"/>
  <c r="O147" i="3"/>
  <c r="P155" i="3"/>
  <c r="O155" i="3"/>
  <c r="O149" i="3"/>
  <c r="O143" i="3"/>
  <c r="O151" i="3"/>
  <c r="I258" i="3"/>
  <c r="I266" i="3" s="1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K157" i="3"/>
  <c r="I238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Z274" i="3"/>
  <c r="AA274" i="3" s="1"/>
  <c r="W124" i="3"/>
  <c r="Q124" i="3"/>
  <c r="E23" i="3"/>
  <c r="L22" i="3"/>
  <c r="G22" i="3"/>
  <c r="Z270" i="3"/>
  <c r="AA270" i="3" s="1"/>
  <c r="G159" i="3"/>
  <c r="E159" i="3" s="1"/>
  <c r="L159" i="3" s="1"/>
  <c r="N159" i="3"/>
  <c r="D160" i="3"/>
  <c r="Z269" i="3"/>
  <c r="AA269" i="3" s="1"/>
  <c r="Z276" i="3"/>
  <c r="AA276" i="3" s="1"/>
  <c r="H258" i="3"/>
  <c r="J258" i="3" s="1"/>
  <c r="H257" i="3"/>
  <c r="J257" i="3" s="1"/>
  <c r="H256" i="3"/>
  <c r="J256" i="3" s="1"/>
  <c r="H255" i="3"/>
  <c r="J255" i="3" s="1"/>
  <c r="H254" i="3"/>
  <c r="J254" i="3" s="1"/>
  <c r="H253" i="3"/>
  <c r="J253" i="3" s="1"/>
  <c r="H252" i="3"/>
  <c r="J252" i="3" s="1"/>
  <c r="H251" i="3"/>
  <c r="J251" i="3" s="1"/>
  <c r="H250" i="3"/>
  <c r="J250" i="3" s="1"/>
  <c r="H249" i="3"/>
  <c r="J249" i="3" s="1"/>
  <c r="H248" i="3"/>
  <c r="J248" i="3" s="1"/>
  <c r="H247" i="3"/>
  <c r="J247" i="3" s="1"/>
  <c r="H246" i="3"/>
  <c r="J246" i="3" s="1"/>
  <c r="H245" i="3"/>
  <c r="J245" i="3" s="1"/>
  <c r="H244" i="3"/>
  <c r="J244" i="3" s="1"/>
  <c r="H243" i="3"/>
  <c r="J243" i="3" s="1"/>
  <c r="H242" i="3"/>
  <c r="J242" i="3" s="1"/>
  <c r="H241" i="3"/>
  <c r="J241" i="3" s="1"/>
  <c r="H240" i="3"/>
  <c r="J240" i="3" s="1"/>
  <c r="H239" i="3"/>
  <c r="J239" i="3" s="1"/>
  <c r="H238" i="3"/>
  <c r="J238" i="3" s="1"/>
  <c r="H237" i="3"/>
  <c r="J237" i="3" s="1"/>
  <c r="H236" i="3"/>
  <c r="J236" i="3" s="1"/>
  <c r="H235" i="3"/>
  <c r="J235" i="3" s="1"/>
  <c r="H234" i="3"/>
  <c r="J234" i="3" s="1"/>
  <c r="H233" i="3"/>
  <c r="J233" i="3" s="1"/>
  <c r="H232" i="3"/>
  <c r="J232" i="3" s="1"/>
  <c r="H231" i="3"/>
  <c r="J231" i="3" s="1"/>
  <c r="H230" i="3"/>
  <c r="J230" i="3" s="1"/>
  <c r="H228" i="3"/>
  <c r="J228" i="3" s="1"/>
  <c r="H226" i="3"/>
  <c r="J226" i="3" s="1"/>
  <c r="H224" i="3"/>
  <c r="J224" i="3" s="1"/>
  <c r="H222" i="3"/>
  <c r="J222" i="3" s="1"/>
  <c r="H220" i="3"/>
  <c r="J220" i="3" s="1"/>
  <c r="H218" i="3"/>
  <c r="J218" i="3" s="1"/>
  <c r="H216" i="3"/>
  <c r="J216" i="3" s="1"/>
  <c r="H214" i="3"/>
  <c r="J214" i="3" s="1"/>
  <c r="H212" i="3"/>
  <c r="J212" i="3" s="1"/>
  <c r="H208" i="3"/>
  <c r="J208" i="3" s="1"/>
  <c r="H207" i="3"/>
  <c r="J207" i="3" s="1"/>
  <c r="H206" i="3"/>
  <c r="J206" i="3" s="1"/>
  <c r="H205" i="3"/>
  <c r="J205" i="3" s="1"/>
  <c r="H204" i="3"/>
  <c r="J204" i="3" s="1"/>
  <c r="H203" i="3"/>
  <c r="J203" i="3" s="1"/>
  <c r="H202" i="3"/>
  <c r="J202" i="3" s="1"/>
  <c r="H201" i="3"/>
  <c r="J201" i="3" s="1"/>
  <c r="H200" i="3"/>
  <c r="J200" i="3" s="1"/>
  <c r="H199" i="3"/>
  <c r="J199" i="3" s="1"/>
  <c r="H198" i="3"/>
  <c r="J198" i="3" s="1"/>
  <c r="H197" i="3"/>
  <c r="J197" i="3" s="1"/>
  <c r="H196" i="3"/>
  <c r="J196" i="3" s="1"/>
  <c r="H195" i="3"/>
  <c r="J195" i="3" s="1"/>
  <c r="H194" i="3"/>
  <c r="J194" i="3" s="1"/>
  <c r="H193" i="3"/>
  <c r="J193" i="3" s="1"/>
  <c r="H192" i="3"/>
  <c r="J192" i="3" s="1"/>
  <c r="H191" i="3"/>
  <c r="J191" i="3" s="1"/>
  <c r="H190" i="3"/>
  <c r="J190" i="3" s="1"/>
  <c r="H189" i="3"/>
  <c r="J189" i="3" s="1"/>
  <c r="H188" i="3"/>
  <c r="J188" i="3" s="1"/>
  <c r="H225" i="3"/>
  <c r="J225" i="3" s="1"/>
  <c r="H217" i="3"/>
  <c r="J217" i="3" s="1"/>
  <c r="H223" i="3"/>
  <c r="J223" i="3" s="1"/>
  <c r="H215" i="3"/>
  <c r="J215" i="3" s="1"/>
  <c r="J157" i="3"/>
  <c r="M157" i="3" s="1"/>
  <c r="H229" i="3"/>
  <c r="J229" i="3" s="1"/>
  <c r="H221" i="3"/>
  <c r="J221" i="3" s="1"/>
  <c r="H213" i="3"/>
  <c r="J213" i="3" s="1"/>
  <c r="H210" i="3"/>
  <c r="J210" i="3" s="1"/>
  <c r="H187" i="3"/>
  <c r="J187" i="3" s="1"/>
  <c r="H209" i="3"/>
  <c r="J209" i="3" s="1"/>
  <c r="H186" i="3"/>
  <c r="J186" i="3" s="1"/>
  <c r="H184" i="3"/>
  <c r="J184" i="3" s="1"/>
  <c r="H182" i="3"/>
  <c r="J182" i="3" s="1"/>
  <c r="H180" i="3"/>
  <c r="J180" i="3" s="1"/>
  <c r="H178" i="3"/>
  <c r="J178" i="3" s="1"/>
  <c r="H176" i="3"/>
  <c r="J176" i="3" s="1"/>
  <c r="H174" i="3"/>
  <c r="J174" i="3" s="1"/>
  <c r="H172" i="3"/>
  <c r="J172" i="3" s="1"/>
  <c r="H170" i="3"/>
  <c r="J170" i="3" s="1"/>
  <c r="H168" i="3"/>
  <c r="J168" i="3" s="1"/>
  <c r="H166" i="3"/>
  <c r="J166" i="3" s="1"/>
  <c r="H164" i="3"/>
  <c r="J164" i="3" s="1"/>
  <c r="H162" i="3"/>
  <c r="J162" i="3" s="1"/>
  <c r="H160" i="3"/>
  <c r="J160" i="3" s="1"/>
  <c r="H158" i="3"/>
  <c r="J158" i="3" s="1"/>
  <c r="M158" i="3" s="1"/>
  <c r="O158" i="3" s="1"/>
  <c r="H211" i="3"/>
  <c r="J211" i="3" s="1"/>
  <c r="H219" i="3"/>
  <c r="J219" i="3" s="1"/>
  <c r="H185" i="3"/>
  <c r="J185" i="3" s="1"/>
  <c r="H183" i="3"/>
  <c r="J183" i="3" s="1"/>
  <c r="H181" i="3"/>
  <c r="J181" i="3" s="1"/>
  <c r="H179" i="3"/>
  <c r="J179" i="3" s="1"/>
  <c r="H177" i="3"/>
  <c r="J177" i="3" s="1"/>
  <c r="H175" i="3"/>
  <c r="J175" i="3" s="1"/>
  <c r="H173" i="3"/>
  <c r="J173" i="3" s="1"/>
  <c r="H171" i="3"/>
  <c r="J171" i="3" s="1"/>
  <c r="H169" i="3"/>
  <c r="J169" i="3" s="1"/>
  <c r="H167" i="3"/>
  <c r="J167" i="3" s="1"/>
  <c r="H165" i="3"/>
  <c r="J165" i="3" s="1"/>
  <c r="H163" i="3"/>
  <c r="J163" i="3" s="1"/>
  <c r="H161" i="3"/>
  <c r="J161" i="3" s="1"/>
  <c r="H159" i="3"/>
  <c r="J159" i="3" s="1"/>
  <c r="H227" i="3"/>
  <c r="J227" i="3" s="1"/>
  <c r="P142" i="3"/>
  <c r="Z273" i="3"/>
  <c r="AA273" i="3" s="1"/>
  <c r="O156" i="3"/>
  <c r="Z156" i="3"/>
  <c r="AA156" i="3" s="1"/>
  <c r="W135" i="3"/>
  <c r="Q135" i="3"/>
  <c r="Z277" i="3"/>
  <c r="AA277" i="3" s="1"/>
  <c r="Z271" i="3"/>
  <c r="AA271" i="3" s="1"/>
  <c r="P152" i="3"/>
  <c r="Z266" i="3"/>
  <c r="AA266" i="3" s="1"/>
  <c r="O152" i="3"/>
  <c r="Z152" i="3"/>
  <c r="AA152" i="3" s="1"/>
  <c r="Z264" i="3"/>
  <c r="AA264" i="3" s="1"/>
  <c r="Z158" i="3"/>
  <c r="AA158" i="3" s="1"/>
  <c r="Z263" i="3"/>
  <c r="AA263" i="3" s="1"/>
  <c r="Z265" i="3"/>
  <c r="AA265" i="3" s="1"/>
  <c r="Z267" i="3"/>
  <c r="AA267" i="3" s="1"/>
  <c r="O154" i="3"/>
  <c r="Z154" i="3"/>
  <c r="AA154" i="3" s="1"/>
  <c r="O21" i="3"/>
  <c r="Z21" i="3"/>
  <c r="AA21" i="3" s="1"/>
  <c r="P21" i="3"/>
  <c r="Z268" i="3"/>
  <c r="AA268" i="3" s="1"/>
  <c r="O148" i="3"/>
  <c r="Z148" i="3"/>
  <c r="AA148" i="3" s="1"/>
  <c r="W123" i="3"/>
  <c r="Q123" i="3"/>
  <c r="Z272" i="3"/>
  <c r="AA272" i="3" s="1"/>
  <c r="Z275" i="3"/>
  <c r="AA275" i="3" s="1"/>
  <c r="Z262" i="3"/>
  <c r="AA262" i="3" s="1"/>
  <c r="O150" i="3"/>
  <c r="Z150" i="3"/>
  <c r="AA150" i="3" s="1"/>
  <c r="O142" i="3"/>
  <c r="W128" i="3"/>
  <c r="Q128" i="3"/>
  <c r="W126" i="3" l="1"/>
  <c r="R127" i="3"/>
  <c r="S127" i="3" s="1"/>
  <c r="Y127" i="3"/>
  <c r="X131" i="3"/>
  <c r="Y136" i="3"/>
  <c r="R131" i="3"/>
  <c r="S131" i="3" s="1"/>
  <c r="X136" i="3"/>
  <c r="T131" i="3"/>
  <c r="V131" i="3" s="1"/>
  <c r="F125" i="10"/>
  <c r="R125" i="3"/>
  <c r="S125" i="3" s="1"/>
  <c r="X125" i="3"/>
  <c r="W140" i="3"/>
  <c r="Y123" i="3"/>
  <c r="W131" i="3"/>
  <c r="Q146" i="3"/>
  <c r="W139" i="3"/>
  <c r="T139" i="3"/>
  <c r="V139" i="3" s="1"/>
  <c r="Q136" i="3"/>
  <c r="T136" i="3"/>
  <c r="U136" i="3" s="1"/>
  <c r="W134" i="3"/>
  <c r="W138" i="3"/>
  <c r="T126" i="3"/>
  <c r="V126" i="3" s="1"/>
  <c r="I273" i="3"/>
  <c r="T138" i="3"/>
  <c r="V138" i="3" s="1"/>
  <c r="H277" i="3"/>
  <c r="J277" i="3" s="1"/>
  <c r="M277" i="3" s="1"/>
  <c r="O277" i="3" s="1"/>
  <c r="Q277" i="3" s="1"/>
  <c r="H274" i="3"/>
  <c r="J274" i="3" s="1"/>
  <c r="M274" i="3" s="1"/>
  <c r="O274" i="3" s="1"/>
  <c r="H262" i="3"/>
  <c r="J262" i="3" s="1"/>
  <c r="M262" i="3" s="1"/>
  <c r="O262" i="3" s="1"/>
  <c r="W262" i="3" s="1"/>
  <c r="H273" i="3"/>
  <c r="J273" i="3" s="1"/>
  <c r="M273" i="3" s="1"/>
  <c r="O273" i="3" s="1"/>
  <c r="H275" i="3"/>
  <c r="J275" i="3" s="1"/>
  <c r="M275" i="3" s="1"/>
  <c r="O275" i="3" s="1"/>
  <c r="Q275" i="3" s="1"/>
  <c r="H272" i="3"/>
  <c r="J272" i="3" s="1"/>
  <c r="M272" i="3" s="1"/>
  <c r="O272" i="3" s="1"/>
  <c r="Q272" i="3" s="1"/>
  <c r="R138" i="3"/>
  <c r="S138" i="3" s="1"/>
  <c r="R123" i="3"/>
  <c r="S123" i="3" s="1"/>
  <c r="X138" i="3"/>
  <c r="T123" i="3"/>
  <c r="V123" i="3" s="1"/>
  <c r="T135" i="3"/>
  <c r="U135" i="3" s="1"/>
  <c r="Q129" i="3"/>
  <c r="Q144" i="3"/>
  <c r="Q130" i="3"/>
  <c r="W130" i="3"/>
  <c r="T127" i="3"/>
  <c r="V127" i="3" s="1"/>
  <c r="Q127" i="3"/>
  <c r="Q133" i="3"/>
  <c r="R126" i="3"/>
  <c r="S126" i="3" s="1"/>
  <c r="X133" i="3"/>
  <c r="Y133" i="3"/>
  <c r="X141" i="3"/>
  <c r="T141" i="3"/>
  <c r="V141" i="3" s="1"/>
  <c r="X124" i="3"/>
  <c r="Y141" i="3"/>
  <c r="R135" i="3"/>
  <c r="S135" i="3" s="1"/>
  <c r="T129" i="3"/>
  <c r="V129" i="3" s="1"/>
  <c r="Y135" i="3"/>
  <c r="T134" i="3"/>
  <c r="V134" i="3" s="1"/>
  <c r="W141" i="3"/>
  <c r="T132" i="3"/>
  <c r="V132" i="3" s="1"/>
  <c r="W132" i="3"/>
  <c r="R134" i="3"/>
  <c r="S134" i="3" s="1"/>
  <c r="Q125" i="3"/>
  <c r="T125" i="3"/>
  <c r="V125" i="3" s="1"/>
  <c r="I272" i="3"/>
  <c r="Y124" i="3"/>
  <c r="I268" i="3"/>
  <c r="R124" i="3"/>
  <c r="S124" i="3" s="1"/>
  <c r="Y134" i="3"/>
  <c r="X132" i="3"/>
  <c r="Y132" i="3"/>
  <c r="R140" i="3"/>
  <c r="S140" i="3" s="1"/>
  <c r="I276" i="3"/>
  <c r="Z122" i="3"/>
  <c r="AA122" i="3" s="1"/>
  <c r="I269" i="3"/>
  <c r="I277" i="3"/>
  <c r="I267" i="3"/>
  <c r="O122" i="3"/>
  <c r="T122" i="3" s="1"/>
  <c r="V122" i="3" s="1"/>
  <c r="Y126" i="3"/>
  <c r="W137" i="3"/>
  <c r="T137" i="3"/>
  <c r="U137" i="3" s="1"/>
  <c r="M159" i="3"/>
  <c r="O159" i="3" s="1"/>
  <c r="Y122" i="3"/>
  <c r="X122" i="3"/>
  <c r="R137" i="3"/>
  <c r="S137" i="3" s="1"/>
  <c r="R139" i="3"/>
  <c r="S139" i="3" s="1"/>
  <c r="K216" i="3"/>
  <c r="K224" i="3"/>
  <c r="Y129" i="3"/>
  <c r="Y137" i="3"/>
  <c r="T133" i="3"/>
  <c r="Y139" i="3"/>
  <c r="X139" i="3"/>
  <c r="Y128" i="3"/>
  <c r="X140" i="3"/>
  <c r="T140" i="3"/>
  <c r="U140" i="3" s="1"/>
  <c r="U131" i="3"/>
  <c r="X129" i="3"/>
  <c r="R129" i="3"/>
  <c r="S129" i="3" s="1"/>
  <c r="H267" i="3"/>
  <c r="J267" i="3" s="1"/>
  <c r="M267" i="3" s="1"/>
  <c r="O267" i="3" s="1"/>
  <c r="K166" i="3"/>
  <c r="K182" i="3"/>
  <c r="H263" i="3"/>
  <c r="J263" i="3" s="1"/>
  <c r="M263" i="3" s="1"/>
  <c r="O263" i="3" s="1"/>
  <c r="R128" i="3"/>
  <c r="S128" i="3" s="1"/>
  <c r="K159" i="3"/>
  <c r="K167" i="3"/>
  <c r="K175" i="3"/>
  <c r="K183" i="3"/>
  <c r="K238" i="3"/>
  <c r="K217" i="3"/>
  <c r="K225" i="3"/>
  <c r="K229" i="3"/>
  <c r="K242" i="3"/>
  <c r="K246" i="3"/>
  <c r="K250" i="3"/>
  <c r="K254" i="3"/>
  <c r="K258" i="3"/>
  <c r="K158" i="3"/>
  <c r="P158" i="3" s="1"/>
  <c r="K174" i="3"/>
  <c r="H270" i="3"/>
  <c r="J270" i="3" s="1"/>
  <c r="M270" i="3" s="1"/>
  <c r="O270" i="3" s="1"/>
  <c r="H269" i="3"/>
  <c r="J269" i="3" s="1"/>
  <c r="M269" i="3" s="1"/>
  <c r="O269" i="3" s="1"/>
  <c r="H271" i="3"/>
  <c r="J271" i="3" s="1"/>
  <c r="M271" i="3" s="1"/>
  <c r="O271" i="3" s="1"/>
  <c r="H264" i="3"/>
  <c r="J264" i="3" s="1"/>
  <c r="M264" i="3" s="1"/>
  <c r="O264" i="3" s="1"/>
  <c r="W264" i="3" s="1"/>
  <c r="H276" i="3"/>
  <c r="J276" i="3" s="1"/>
  <c r="M276" i="3" s="1"/>
  <c r="O276" i="3" s="1"/>
  <c r="T128" i="3"/>
  <c r="U128" i="3" s="1"/>
  <c r="W277" i="3"/>
  <c r="W142" i="3"/>
  <c r="Q142" i="3"/>
  <c r="W154" i="3"/>
  <c r="Q154" i="3"/>
  <c r="W158" i="3"/>
  <c r="Q158" i="3"/>
  <c r="R144" i="3"/>
  <c r="S144" i="3" s="1"/>
  <c r="Y144" i="3"/>
  <c r="X144" i="3"/>
  <c r="T144" i="3"/>
  <c r="W156" i="3"/>
  <c r="Q156" i="3"/>
  <c r="R150" i="3"/>
  <c r="S150" i="3" s="1"/>
  <c r="Y150" i="3"/>
  <c r="X150" i="3"/>
  <c r="T150" i="3"/>
  <c r="G160" i="3"/>
  <c r="E160" i="3" s="1"/>
  <c r="L160" i="3" s="1"/>
  <c r="N160" i="3"/>
  <c r="D161" i="3"/>
  <c r="R156" i="3"/>
  <c r="S156" i="3" s="1"/>
  <c r="Y156" i="3"/>
  <c r="X156" i="3"/>
  <c r="T156" i="3"/>
  <c r="K162" i="3"/>
  <c r="K170" i="3"/>
  <c r="K178" i="3"/>
  <c r="K186" i="3"/>
  <c r="K188" i="3"/>
  <c r="K192" i="3"/>
  <c r="K196" i="3"/>
  <c r="K200" i="3"/>
  <c r="K204" i="3"/>
  <c r="K208" i="3"/>
  <c r="K212" i="3"/>
  <c r="K220" i="3"/>
  <c r="K228" i="3"/>
  <c r="K232" i="3"/>
  <c r="K236" i="3"/>
  <c r="K241" i="3"/>
  <c r="K245" i="3"/>
  <c r="K249" i="3"/>
  <c r="K253" i="3"/>
  <c r="K257" i="3"/>
  <c r="W151" i="3"/>
  <c r="Q151" i="3"/>
  <c r="W149" i="3"/>
  <c r="Q149" i="3"/>
  <c r="W147" i="3"/>
  <c r="Q147" i="3"/>
  <c r="W153" i="3"/>
  <c r="Q153" i="3"/>
  <c r="W21" i="3"/>
  <c r="Q21" i="3"/>
  <c r="R148" i="3"/>
  <c r="S148" i="3" s="1"/>
  <c r="Y148" i="3"/>
  <c r="X148" i="3"/>
  <c r="T148" i="3"/>
  <c r="K163" i="3"/>
  <c r="K171" i="3"/>
  <c r="K179" i="3"/>
  <c r="K189" i="3"/>
  <c r="K193" i="3"/>
  <c r="K197" i="3"/>
  <c r="K201" i="3"/>
  <c r="K205" i="3"/>
  <c r="K209" i="3"/>
  <c r="K213" i="3"/>
  <c r="K221" i="3"/>
  <c r="K233" i="3"/>
  <c r="K237" i="3"/>
  <c r="R151" i="3"/>
  <c r="S151" i="3" s="1"/>
  <c r="Y151" i="3"/>
  <c r="X151" i="3"/>
  <c r="T151" i="3"/>
  <c r="R149" i="3"/>
  <c r="S149" i="3" s="1"/>
  <c r="Y149" i="3"/>
  <c r="X149" i="3"/>
  <c r="T149" i="3"/>
  <c r="R147" i="3"/>
  <c r="S147" i="3" s="1"/>
  <c r="Y147" i="3"/>
  <c r="X147" i="3"/>
  <c r="T147" i="3"/>
  <c r="R153" i="3"/>
  <c r="S153" i="3" s="1"/>
  <c r="Y153" i="3"/>
  <c r="X153" i="3"/>
  <c r="T153" i="3"/>
  <c r="V130" i="3"/>
  <c r="U130" i="3"/>
  <c r="W150" i="3"/>
  <c r="Q150" i="3"/>
  <c r="W148" i="3"/>
  <c r="Q148" i="3"/>
  <c r="R154" i="3"/>
  <c r="S154" i="3" s="1"/>
  <c r="Y154" i="3"/>
  <c r="X154" i="3"/>
  <c r="T154" i="3"/>
  <c r="I275" i="3"/>
  <c r="W152" i="3"/>
  <c r="Q152" i="3"/>
  <c r="I270" i="3"/>
  <c r="I274" i="3"/>
  <c r="K274" i="3" s="1"/>
  <c r="I263" i="3"/>
  <c r="I271" i="3"/>
  <c r="H265" i="3"/>
  <c r="J265" i="3" s="1"/>
  <c r="M265" i="3" s="1"/>
  <c r="V124" i="3"/>
  <c r="U124" i="3"/>
  <c r="Z159" i="3"/>
  <c r="AA159" i="3" s="1"/>
  <c r="I264" i="3"/>
  <c r="H268" i="3"/>
  <c r="J268" i="3" s="1"/>
  <c r="M268" i="3" s="1"/>
  <c r="O22" i="3"/>
  <c r="Z22" i="3"/>
  <c r="AA22" i="3" s="1"/>
  <c r="P22" i="3"/>
  <c r="K160" i="3"/>
  <c r="K164" i="3"/>
  <c r="K168" i="3"/>
  <c r="K172" i="3"/>
  <c r="K176" i="3"/>
  <c r="K180" i="3"/>
  <c r="K184" i="3"/>
  <c r="K190" i="3"/>
  <c r="K194" i="3"/>
  <c r="K198" i="3"/>
  <c r="K202" i="3"/>
  <c r="K206" i="3"/>
  <c r="K210" i="3"/>
  <c r="K214" i="3"/>
  <c r="K218" i="3"/>
  <c r="K222" i="3"/>
  <c r="K226" i="3"/>
  <c r="K230" i="3"/>
  <c r="K234" i="3"/>
  <c r="K239" i="3"/>
  <c r="K243" i="3"/>
  <c r="K247" i="3"/>
  <c r="K251" i="3"/>
  <c r="K255" i="3"/>
  <c r="W143" i="3"/>
  <c r="Q143" i="3"/>
  <c r="W155" i="3"/>
  <c r="Q155" i="3"/>
  <c r="W145" i="3"/>
  <c r="Q145" i="3"/>
  <c r="Y21" i="3"/>
  <c r="T21" i="3"/>
  <c r="R21" i="3"/>
  <c r="S21" i="3" s="1"/>
  <c r="X21" i="3"/>
  <c r="R146" i="3"/>
  <c r="S146" i="3" s="1"/>
  <c r="Y146" i="3"/>
  <c r="X146" i="3"/>
  <c r="T146" i="3"/>
  <c r="R152" i="3"/>
  <c r="S152" i="3" s="1"/>
  <c r="Y152" i="3"/>
  <c r="X152" i="3"/>
  <c r="T152" i="3"/>
  <c r="R142" i="3"/>
  <c r="S142" i="3" s="1"/>
  <c r="Y142" i="3"/>
  <c r="X142" i="3"/>
  <c r="T142" i="3"/>
  <c r="P157" i="3"/>
  <c r="O157" i="3"/>
  <c r="I265" i="3"/>
  <c r="H266" i="3"/>
  <c r="J266" i="3" s="1"/>
  <c r="M266" i="3" s="1"/>
  <c r="E24" i="3"/>
  <c r="L23" i="3"/>
  <c r="G23" i="3"/>
  <c r="K161" i="3"/>
  <c r="K165" i="3"/>
  <c r="K169" i="3"/>
  <c r="K173" i="3"/>
  <c r="K177" i="3"/>
  <c r="K181" i="3"/>
  <c r="K185" i="3"/>
  <c r="K187" i="3"/>
  <c r="K191" i="3"/>
  <c r="K195" i="3"/>
  <c r="K199" i="3"/>
  <c r="K203" i="3"/>
  <c r="K207" i="3"/>
  <c r="K211" i="3"/>
  <c r="K215" i="3"/>
  <c r="K219" i="3"/>
  <c r="K223" i="3"/>
  <c r="K227" i="3"/>
  <c r="K231" i="3"/>
  <c r="K235" i="3"/>
  <c r="K240" i="3"/>
  <c r="K244" i="3"/>
  <c r="K248" i="3"/>
  <c r="K252" i="3"/>
  <c r="K256" i="3"/>
  <c r="R143" i="3"/>
  <c r="S143" i="3" s="1"/>
  <c r="Y143" i="3"/>
  <c r="X143" i="3"/>
  <c r="T143" i="3"/>
  <c r="R155" i="3"/>
  <c r="S155" i="3" s="1"/>
  <c r="Y155" i="3"/>
  <c r="X155" i="3"/>
  <c r="T155" i="3"/>
  <c r="U139" i="3"/>
  <c r="R145" i="3"/>
  <c r="S145" i="3" s="1"/>
  <c r="Y145" i="3"/>
  <c r="X145" i="3"/>
  <c r="T145" i="3"/>
  <c r="V136" i="3" l="1"/>
  <c r="F126" i="10"/>
  <c r="U138" i="3"/>
  <c r="U126" i="3"/>
  <c r="W275" i="3"/>
  <c r="K275" i="3"/>
  <c r="P275" i="3" s="1"/>
  <c r="X275" i="3" s="1"/>
  <c r="P159" i="3"/>
  <c r="X159" i="3" s="1"/>
  <c r="K277" i="3"/>
  <c r="P277" i="3" s="1"/>
  <c r="Y277" i="3" s="1"/>
  <c r="K273" i="3"/>
  <c r="P273" i="3" s="1"/>
  <c r="T273" i="3" s="1"/>
  <c r="W272" i="3"/>
  <c r="P274" i="3"/>
  <c r="T274" i="3" s="1"/>
  <c r="K272" i="3"/>
  <c r="P272" i="3" s="1"/>
  <c r="T272" i="3" s="1"/>
  <c r="Q262" i="3"/>
  <c r="V135" i="3"/>
  <c r="U132" i="3"/>
  <c r="U141" i="3"/>
  <c r="U129" i="3"/>
  <c r="U125" i="3"/>
  <c r="U123" i="3"/>
  <c r="U127" i="3"/>
  <c r="U134" i="3"/>
  <c r="V140" i="3"/>
  <c r="V137" i="3"/>
  <c r="Q122" i="3"/>
  <c r="W122" i="3"/>
  <c r="U122" i="3"/>
  <c r="K270" i="3"/>
  <c r="P270" i="3" s="1"/>
  <c r="R270" i="3" s="1"/>
  <c r="S270" i="3" s="1"/>
  <c r="K264" i="3"/>
  <c r="P264" i="3" s="1"/>
  <c r="R264" i="3" s="1"/>
  <c r="S264" i="3" s="1"/>
  <c r="K267" i="3"/>
  <c r="P267" i="3" s="1"/>
  <c r="Y267" i="3" s="1"/>
  <c r="Q264" i="3"/>
  <c r="K265" i="3"/>
  <c r="P265" i="3" s="1"/>
  <c r="V128" i="3"/>
  <c r="K269" i="3"/>
  <c r="P269" i="3" s="1"/>
  <c r="X269" i="3" s="1"/>
  <c r="V133" i="3"/>
  <c r="U133" i="3"/>
  <c r="K268" i="3"/>
  <c r="P268" i="3" s="1"/>
  <c r="K271" i="3"/>
  <c r="P271" i="3" s="1"/>
  <c r="Y271" i="3" s="1"/>
  <c r="K263" i="3"/>
  <c r="P263" i="3" s="1"/>
  <c r="R263" i="3" s="1"/>
  <c r="S263" i="3" s="1"/>
  <c r="K276" i="3"/>
  <c r="P276" i="3" s="1"/>
  <c r="R276" i="3" s="1"/>
  <c r="S276" i="3" s="1"/>
  <c r="O266" i="3"/>
  <c r="V142" i="3"/>
  <c r="U142" i="3"/>
  <c r="Q267" i="3"/>
  <c r="W267" i="3"/>
  <c r="Y22" i="3"/>
  <c r="R22" i="3"/>
  <c r="S22" i="3" s="1"/>
  <c r="X22" i="3"/>
  <c r="T22" i="3"/>
  <c r="R158" i="3"/>
  <c r="S158" i="3" s="1"/>
  <c r="Y158" i="3"/>
  <c r="X158" i="3"/>
  <c r="T158" i="3"/>
  <c r="V148" i="3"/>
  <c r="U148" i="3"/>
  <c r="Z160" i="3"/>
  <c r="AA160" i="3" s="1"/>
  <c r="V145" i="3"/>
  <c r="U145" i="3"/>
  <c r="O23" i="3"/>
  <c r="P23" i="3"/>
  <c r="Z23" i="3"/>
  <c r="AA23" i="3" s="1"/>
  <c r="W269" i="3"/>
  <c r="Q269" i="3"/>
  <c r="Q276" i="3"/>
  <c r="W276" i="3"/>
  <c r="W157" i="3"/>
  <c r="Q157" i="3"/>
  <c r="V146" i="3"/>
  <c r="U146" i="3"/>
  <c r="O265" i="3"/>
  <c r="W273" i="3"/>
  <c r="Q273" i="3"/>
  <c r="V154" i="3"/>
  <c r="U154" i="3"/>
  <c r="V156" i="3"/>
  <c r="U156" i="3"/>
  <c r="K266" i="3"/>
  <c r="P266" i="3" s="1"/>
  <c r="V144" i="3"/>
  <c r="U144" i="3"/>
  <c r="E25" i="3"/>
  <c r="L24" i="3"/>
  <c r="G24" i="3"/>
  <c r="R157" i="3"/>
  <c r="S157" i="3" s="1"/>
  <c r="Y157" i="3"/>
  <c r="X157" i="3"/>
  <c r="T157" i="3"/>
  <c r="Q271" i="3"/>
  <c r="W271" i="3"/>
  <c r="Q22" i="3"/>
  <c r="W22" i="3"/>
  <c r="W159" i="3"/>
  <c r="Q159" i="3"/>
  <c r="V153" i="3"/>
  <c r="U153" i="3"/>
  <c r="V147" i="3"/>
  <c r="U147" i="3"/>
  <c r="V149" i="3"/>
  <c r="U149" i="3"/>
  <c r="V151" i="3"/>
  <c r="U151" i="3"/>
  <c r="G161" i="3"/>
  <c r="N161" i="3"/>
  <c r="D162" i="3"/>
  <c r="V155" i="3"/>
  <c r="U155" i="3"/>
  <c r="V143" i="3"/>
  <c r="U143" i="3"/>
  <c r="W270" i="3"/>
  <c r="Q270" i="3"/>
  <c r="M160" i="3"/>
  <c r="P160" i="3" s="1"/>
  <c r="V152" i="3"/>
  <c r="U152" i="3"/>
  <c r="Q263" i="3"/>
  <c r="W263" i="3"/>
  <c r="U21" i="3"/>
  <c r="V21" i="3"/>
  <c r="W274" i="3"/>
  <c r="Q274" i="3"/>
  <c r="O268" i="3"/>
  <c r="V150" i="3"/>
  <c r="U150" i="3"/>
  <c r="F127" i="10" l="1"/>
  <c r="X273" i="3"/>
  <c r="R273" i="3"/>
  <c r="S273" i="3" s="1"/>
  <c r="Y273" i="3"/>
  <c r="Y159" i="3"/>
  <c r="T275" i="3"/>
  <c r="U275" i="3" s="1"/>
  <c r="R275" i="3"/>
  <c r="S275" i="3" s="1"/>
  <c r="R159" i="3"/>
  <c r="S159" i="3" s="1"/>
  <c r="Y275" i="3"/>
  <c r="R274" i="3"/>
  <c r="S274" i="3" s="1"/>
  <c r="T159" i="3"/>
  <c r="V159" i="3" s="1"/>
  <c r="X274" i="3"/>
  <c r="R272" i="3"/>
  <c r="S272" i="3" s="1"/>
  <c r="R277" i="3"/>
  <c r="S277" i="3" s="1"/>
  <c r="X272" i="3"/>
  <c r="T277" i="3"/>
  <c r="U277" i="3" s="1"/>
  <c r="X277" i="3"/>
  <c r="X264" i="3"/>
  <c r="Y272" i="3"/>
  <c r="Y274" i="3"/>
  <c r="T264" i="3"/>
  <c r="V264" i="3" s="1"/>
  <c r="Y264" i="3"/>
  <c r="Y269" i="3"/>
  <c r="X267" i="3"/>
  <c r="T270" i="3"/>
  <c r="U270" i="3" s="1"/>
  <c r="X270" i="3"/>
  <c r="T263" i="3"/>
  <c r="U263" i="3" s="1"/>
  <c r="Y270" i="3"/>
  <c r="R269" i="3"/>
  <c r="S269" i="3" s="1"/>
  <c r="T267" i="3"/>
  <c r="U267" i="3" s="1"/>
  <c r="X271" i="3"/>
  <c r="T271" i="3"/>
  <c r="V271" i="3" s="1"/>
  <c r="T269" i="3"/>
  <c r="U269" i="3" s="1"/>
  <c r="R267" i="3"/>
  <c r="S267" i="3" s="1"/>
  <c r="X263" i="3"/>
  <c r="R271" i="3"/>
  <c r="S271" i="3" s="1"/>
  <c r="Y276" i="3"/>
  <c r="T276" i="3"/>
  <c r="U276" i="3" s="1"/>
  <c r="X276" i="3"/>
  <c r="Y263" i="3"/>
  <c r="R266" i="3"/>
  <c r="S266" i="3" s="1"/>
  <c r="Y266" i="3"/>
  <c r="T266" i="3"/>
  <c r="X266" i="3"/>
  <c r="E161" i="3"/>
  <c r="L161" i="3" s="1"/>
  <c r="M161" i="3"/>
  <c r="O24" i="3"/>
  <c r="Z24" i="3"/>
  <c r="AA24" i="3" s="1"/>
  <c r="P24" i="3"/>
  <c r="Y265" i="3"/>
  <c r="T265" i="3"/>
  <c r="X265" i="3"/>
  <c r="R265" i="3"/>
  <c r="S265" i="3" s="1"/>
  <c r="W268" i="3"/>
  <c r="Q268" i="3"/>
  <c r="E26" i="3"/>
  <c r="L25" i="3"/>
  <c r="G25" i="3"/>
  <c r="V273" i="3"/>
  <c r="U273" i="3"/>
  <c r="X268" i="3"/>
  <c r="T268" i="3"/>
  <c r="Y268" i="3"/>
  <c r="R268" i="3"/>
  <c r="S268" i="3" s="1"/>
  <c r="G162" i="3"/>
  <c r="N162" i="3"/>
  <c r="D163" i="3"/>
  <c r="Y23" i="3"/>
  <c r="X23" i="3"/>
  <c r="T23" i="3"/>
  <c r="R23" i="3"/>
  <c r="S23" i="3" s="1"/>
  <c r="V158" i="3"/>
  <c r="U158" i="3"/>
  <c r="U22" i="3"/>
  <c r="V22" i="3"/>
  <c r="W266" i="3"/>
  <c r="Q266" i="3"/>
  <c r="V274" i="3"/>
  <c r="U274" i="3"/>
  <c r="R160" i="3"/>
  <c r="S160" i="3" s="1"/>
  <c r="Y160" i="3"/>
  <c r="X160" i="3"/>
  <c r="V157" i="3"/>
  <c r="U157" i="3"/>
  <c r="U272" i="3"/>
  <c r="V272" i="3"/>
  <c r="W265" i="3"/>
  <c r="Q265" i="3"/>
  <c r="W23" i="3"/>
  <c r="Q23" i="3"/>
  <c r="O160" i="3"/>
  <c r="F128" i="10" l="1"/>
  <c r="V263" i="3"/>
  <c r="V275" i="3"/>
  <c r="V277" i="3"/>
  <c r="U159" i="3"/>
  <c r="U264" i="3"/>
  <c r="V269" i="3"/>
  <c r="V270" i="3"/>
  <c r="U271" i="3"/>
  <c r="V276" i="3"/>
  <c r="V267" i="3"/>
  <c r="P161" i="3"/>
  <c r="X161" i="3" s="1"/>
  <c r="W160" i="3"/>
  <c r="Q160" i="3"/>
  <c r="U23" i="3"/>
  <c r="V23" i="3"/>
  <c r="V268" i="3"/>
  <c r="U268" i="3"/>
  <c r="E27" i="3"/>
  <c r="L26" i="3"/>
  <c r="G26" i="3"/>
  <c r="T160" i="3"/>
  <c r="E162" i="3"/>
  <c r="L162" i="3" s="1"/>
  <c r="M162" i="3"/>
  <c r="V265" i="3"/>
  <c r="U265" i="3"/>
  <c r="Q24" i="3"/>
  <c r="W24" i="3"/>
  <c r="V266" i="3"/>
  <c r="U266" i="3"/>
  <c r="G163" i="3"/>
  <c r="N163" i="3"/>
  <c r="D164" i="3"/>
  <c r="O25" i="3"/>
  <c r="Z25" i="3"/>
  <c r="AA25" i="3" s="1"/>
  <c r="P25" i="3"/>
  <c r="Y24" i="3"/>
  <c r="T24" i="3"/>
  <c r="R24" i="3"/>
  <c r="S24" i="3" s="1"/>
  <c r="X24" i="3"/>
  <c r="O161" i="3"/>
  <c r="Z161" i="3"/>
  <c r="AA161" i="3" s="1"/>
  <c r="F129" i="10" l="1"/>
  <c r="R161" i="3"/>
  <c r="S161" i="3" s="1"/>
  <c r="Y161" i="3"/>
  <c r="T161" i="3"/>
  <c r="V161" i="3" s="1"/>
  <c r="P162" i="3"/>
  <c r="X162" i="3" s="1"/>
  <c r="Y25" i="3"/>
  <c r="T25" i="3"/>
  <c r="R25" i="3"/>
  <c r="S25" i="3" s="1"/>
  <c r="X25" i="3"/>
  <c r="O26" i="3"/>
  <c r="Z26" i="3"/>
  <c r="AA26" i="3" s="1"/>
  <c r="P26" i="3"/>
  <c r="E163" i="3"/>
  <c r="L163" i="3" s="1"/>
  <c r="M163" i="3"/>
  <c r="O162" i="3"/>
  <c r="Z162" i="3"/>
  <c r="AA162" i="3" s="1"/>
  <c r="E28" i="3"/>
  <c r="L27" i="3"/>
  <c r="G27" i="3"/>
  <c r="U24" i="3"/>
  <c r="V24" i="3"/>
  <c r="W25" i="3"/>
  <c r="Q25" i="3"/>
  <c r="V160" i="3"/>
  <c r="U160" i="3"/>
  <c r="W161" i="3"/>
  <c r="Q161" i="3"/>
  <c r="G164" i="3"/>
  <c r="N164" i="3"/>
  <c r="D165" i="3"/>
  <c r="F130" i="10" l="1"/>
  <c r="Y162" i="3"/>
  <c r="U161" i="3"/>
  <c r="R162" i="3"/>
  <c r="S162" i="3" s="1"/>
  <c r="W162" i="3"/>
  <c r="Q162" i="3"/>
  <c r="U25" i="3"/>
  <c r="V25" i="3"/>
  <c r="G165" i="3"/>
  <c r="N165" i="3"/>
  <c r="D166" i="3"/>
  <c r="O27" i="3"/>
  <c r="Z27" i="3"/>
  <c r="AA27" i="3" s="1"/>
  <c r="P27" i="3"/>
  <c r="P163" i="3"/>
  <c r="Q26" i="3"/>
  <c r="W26" i="3"/>
  <c r="E29" i="3"/>
  <c r="L28" i="3"/>
  <c r="G28" i="3"/>
  <c r="O163" i="3"/>
  <c r="Z163" i="3"/>
  <c r="AA163" i="3" s="1"/>
  <c r="T162" i="3"/>
  <c r="E164" i="3"/>
  <c r="L164" i="3" s="1"/>
  <c r="M164" i="3"/>
  <c r="Y26" i="3"/>
  <c r="T26" i="3"/>
  <c r="X26" i="3"/>
  <c r="R26" i="3"/>
  <c r="S26" i="3" s="1"/>
  <c r="F131" i="10" l="1"/>
  <c r="O164" i="3"/>
  <c r="Z164" i="3"/>
  <c r="AA164" i="3" s="1"/>
  <c r="W27" i="3"/>
  <c r="Q27" i="3"/>
  <c r="U26" i="3"/>
  <c r="V26" i="3"/>
  <c r="V162" i="3"/>
  <c r="U162" i="3"/>
  <c r="O28" i="3"/>
  <c r="P28" i="3"/>
  <c r="Z28" i="3"/>
  <c r="AA28" i="3" s="1"/>
  <c r="R163" i="3"/>
  <c r="S163" i="3" s="1"/>
  <c r="Y163" i="3"/>
  <c r="X163" i="3"/>
  <c r="T163" i="3"/>
  <c r="G166" i="3"/>
  <c r="N166" i="3"/>
  <c r="D167" i="3"/>
  <c r="E30" i="3"/>
  <c r="L29" i="3"/>
  <c r="G29" i="3"/>
  <c r="Y27" i="3"/>
  <c r="R27" i="3"/>
  <c r="S27" i="3" s="1"/>
  <c r="T27" i="3"/>
  <c r="X27" i="3"/>
  <c r="P164" i="3"/>
  <c r="W163" i="3"/>
  <c r="Q163" i="3"/>
  <c r="E165" i="3"/>
  <c r="L165" i="3" s="1"/>
  <c r="M165" i="3"/>
  <c r="F132" i="10" l="1"/>
  <c r="E166" i="3"/>
  <c r="L166" i="3" s="1"/>
  <c r="M166" i="3"/>
  <c r="E31" i="3"/>
  <c r="L30" i="3"/>
  <c r="G30" i="3"/>
  <c r="V163" i="3"/>
  <c r="U163" i="3"/>
  <c r="U27" i="3"/>
  <c r="V27" i="3"/>
  <c r="O29" i="3"/>
  <c r="Z29" i="3"/>
  <c r="AA29" i="3" s="1"/>
  <c r="P29" i="3"/>
  <c r="P165" i="3"/>
  <c r="R164" i="3"/>
  <c r="S164" i="3" s="1"/>
  <c r="Y164" i="3"/>
  <c r="X164" i="3"/>
  <c r="T164" i="3"/>
  <c r="G167" i="3"/>
  <c r="N167" i="3"/>
  <c r="D168" i="3"/>
  <c r="Y28" i="3"/>
  <c r="X28" i="3"/>
  <c r="T28" i="3"/>
  <c r="R28" i="3"/>
  <c r="S28" i="3" s="1"/>
  <c r="O165" i="3"/>
  <c r="Z165" i="3"/>
  <c r="AA165" i="3" s="1"/>
  <c r="Q28" i="3"/>
  <c r="W28" i="3"/>
  <c r="W164" i="3"/>
  <c r="Q164" i="3"/>
  <c r="F133" i="10" l="1"/>
  <c r="P166" i="3"/>
  <c r="Y166" i="3" s="1"/>
  <c r="G168" i="3"/>
  <c r="N168" i="3"/>
  <c r="D169" i="3"/>
  <c r="O30" i="3"/>
  <c r="P30" i="3"/>
  <c r="Z30" i="3"/>
  <c r="AA30" i="3" s="1"/>
  <c r="U28" i="3"/>
  <c r="V28" i="3"/>
  <c r="E32" i="3"/>
  <c r="L31" i="3"/>
  <c r="G31" i="3"/>
  <c r="Y29" i="3"/>
  <c r="R29" i="3"/>
  <c r="S29" i="3" s="1"/>
  <c r="X29" i="3"/>
  <c r="T29" i="3"/>
  <c r="E167" i="3"/>
  <c r="L167" i="3" s="1"/>
  <c r="M167" i="3"/>
  <c r="W29" i="3"/>
  <c r="Q29" i="3"/>
  <c r="R166" i="3"/>
  <c r="S166" i="3" s="1"/>
  <c r="W165" i="3"/>
  <c r="Q165" i="3"/>
  <c r="V164" i="3"/>
  <c r="U164" i="3"/>
  <c r="R165" i="3"/>
  <c r="S165" i="3" s="1"/>
  <c r="Y165" i="3"/>
  <c r="X165" i="3"/>
  <c r="T165" i="3"/>
  <c r="O166" i="3"/>
  <c r="Z166" i="3"/>
  <c r="AA166" i="3" s="1"/>
  <c r="F134" i="10" l="1"/>
  <c r="X166" i="3"/>
  <c r="T166" i="3"/>
  <c r="V166" i="3" s="1"/>
  <c r="O167" i="3"/>
  <c r="Z167" i="3"/>
  <c r="AA167" i="3" s="1"/>
  <c r="Q30" i="3"/>
  <c r="W30" i="3"/>
  <c r="V165" i="3"/>
  <c r="U165" i="3"/>
  <c r="U29" i="3"/>
  <c r="V29" i="3"/>
  <c r="G169" i="3"/>
  <c r="N169" i="3"/>
  <c r="D170" i="3"/>
  <c r="W166" i="3"/>
  <c r="Q166" i="3"/>
  <c r="O31" i="3"/>
  <c r="Z31" i="3"/>
  <c r="AA31" i="3" s="1"/>
  <c r="P31" i="3"/>
  <c r="P167" i="3"/>
  <c r="E33" i="3"/>
  <c r="L32" i="3"/>
  <c r="G32" i="3"/>
  <c r="Y30" i="3"/>
  <c r="T30" i="3"/>
  <c r="X30" i="3"/>
  <c r="R30" i="3"/>
  <c r="S30" i="3" s="1"/>
  <c r="E168" i="3"/>
  <c r="L168" i="3" s="1"/>
  <c r="M168" i="3"/>
  <c r="F135" i="10" l="1"/>
  <c r="U166" i="3"/>
  <c r="P168" i="3"/>
  <c r="Y168" i="3" s="1"/>
  <c r="U30" i="3"/>
  <c r="V30" i="3"/>
  <c r="E34" i="3"/>
  <c r="L33" i="3"/>
  <c r="G33" i="3"/>
  <c r="W31" i="3"/>
  <c r="Q31" i="3"/>
  <c r="O168" i="3"/>
  <c r="Z168" i="3"/>
  <c r="AA168" i="3" s="1"/>
  <c r="R167" i="3"/>
  <c r="S167" i="3" s="1"/>
  <c r="Y167" i="3"/>
  <c r="X167" i="3"/>
  <c r="T167" i="3"/>
  <c r="E169" i="3"/>
  <c r="L169" i="3" s="1"/>
  <c r="M169" i="3"/>
  <c r="W167" i="3"/>
  <c r="Q167" i="3"/>
  <c r="Y31" i="3"/>
  <c r="R31" i="3"/>
  <c r="S31" i="3" s="1"/>
  <c r="X31" i="3"/>
  <c r="T31" i="3"/>
  <c r="O32" i="3"/>
  <c r="P32" i="3"/>
  <c r="Z32" i="3"/>
  <c r="AA32" i="3" s="1"/>
  <c r="G170" i="3"/>
  <c r="N170" i="3"/>
  <c r="D171" i="3"/>
  <c r="F136" i="10" l="1"/>
  <c r="R168" i="3"/>
  <c r="S168" i="3" s="1"/>
  <c r="X168" i="3"/>
  <c r="W168" i="3"/>
  <c r="Q168" i="3"/>
  <c r="G171" i="3"/>
  <c r="N171" i="3"/>
  <c r="D172" i="3"/>
  <c r="Y32" i="3"/>
  <c r="X32" i="3"/>
  <c r="T32" i="3"/>
  <c r="R32" i="3"/>
  <c r="S32" i="3" s="1"/>
  <c r="P169" i="3"/>
  <c r="E35" i="3"/>
  <c r="L34" i="3"/>
  <c r="G34" i="3"/>
  <c r="Q32" i="3"/>
  <c r="W32" i="3"/>
  <c r="O169" i="3"/>
  <c r="Z169" i="3"/>
  <c r="AA169" i="3" s="1"/>
  <c r="O33" i="3"/>
  <c r="Z33" i="3"/>
  <c r="AA33" i="3" s="1"/>
  <c r="P33" i="3"/>
  <c r="E170" i="3"/>
  <c r="L170" i="3" s="1"/>
  <c r="M170" i="3"/>
  <c r="T168" i="3"/>
  <c r="U31" i="3"/>
  <c r="V31" i="3"/>
  <c r="V167" i="3"/>
  <c r="U167" i="3"/>
  <c r="F137" i="10" l="1"/>
  <c r="Y33" i="3"/>
  <c r="R33" i="3"/>
  <c r="S33" i="3" s="1"/>
  <c r="X33" i="3"/>
  <c r="T33" i="3"/>
  <c r="W169" i="3"/>
  <c r="Q169" i="3"/>
  <c r="U32" i="3"/>
  <c r="V32" i="3"/>
  <c r="V168" i="3"/>
  <c r="U168" i="3"/>
  <c r="E36" i="3"/>
  <c r="L35" i="3"/>
  <c r="G35" i="3"/>
  <c r="E171" i="3"/>
  <c r="L171" i="3" s="1"/>
  <c r="M171" i="3"/>
  <c r="P170" i="3"/>
  <c r="W33" i="3"/>
  <c r="Q33" i="3"/>
  <c r="R169" i="3"/>
  <c r="S169" i="3" s="1"/>
  <c r="Y169" i="3"/>
  <c r="X169" i="3"/>
  <c r="T169" i="3"/>
  <c r="O34" i="3"/>
  <c r="P34" i="3"/>
  <c r="Z34" i="3"/>
  <c r="AA34" i="3" s="1"/>
  <c r="O170" i="3"/>
  <c r="Z170" i="3"/>
  <c r="AA170" i="3" s="1"/>
  <c r="G172" i="3"/>
  <c r="N172" i="3"/>
  <c r="D173" i="3"/>
  <c r="F138" i="10" l="1"/>
  <c r="P171" i="3"/>
  <c r="Y171" i="3" s="1"/>
  <c r="O35" i="3"/>
  <c r="Z35" i="3"/>
  <c r="AA35" i="3" s="1"/>
  <c r="P35" i="3"/>
  <c r="Q34" i="3"/>
  <c r="W34" i="3"/>
  <c r="E37" i="3"/>
  <c r="L36" i="3"/>
  <c r="G36" i="3"/>
  <c r="E172" i="3"/>
  <c r="L172" i="3" s="1"/>
  <c r="M172" i="3"/>
  <c r="G173" i="3"/>
  <c r="N173" i="3"/>
  <c r="D174" i="3"/>
  <c r="W170" i="3"/>
  <c r="Q170" i="3"/>
  <c r="V169" i="3"/>
  <c r="U169" i="3"/>
  <c r="O171" i="3"/>
  <c r="Z171" i="3"/>
  <c r="AA171" i="3" s="1"/>
  <c r="Y34" i="3"/>
  <c r="X34" i="3"/>
  <c r="T34" i="3"/>
  <c r="R34" i="3"/>
  <c r="S34" i="3" s="1"/>
  <c r="R170" i="3"/>
  <c r="S170" i="3" s="1"/>
  <c r="Y170" i="3"/>
  <c r="X170" i="3"/>
  <c r="T170" i="3"/>
  <c r="U33" i="3"/>
  <c r="V33" i="3"/>
  <c r="F139" i="10" l="1"/>
  <c r="X171" i="3"/>
  <c r="R171" i="3"/>
  <c r="S171" i="3" s="1"/>
  <c r="P172" i="3"/>
  <c r="X172" i="3" s="1"/>
  <c r="V170" i="3"/>
  <c r="U170" i="3"/>
  <c r="E173" i="3"/>
  <c r="L173" i="3" s="1"/>
  <c r="M173" i="3"/>
  <c r="P36" i="3"/>
  <c r="O36" i="3"/>
  <c r="Z36" i="3"/>
  <c r="AA36" i="3" s="1"/>
  <c r="R35" i="3"/>
  <c r="S35" i="3" s="1"/>
  <c r="Y35" i="3"/>
  <c r="X35" i="3"/>
  <c r="T35" i="3"/>
  <c r="U34" i="3"/>
  <c r="V34" i="3"/>
  <c r="W171" i="3"/>
  <c r="Q171" i="3"/>
  <c r="E38" i="3"/>
  <c r="L37" i="3"/>
  <c r="G37" i="3"/>
  <c r="G174" i="3"/>
  <c r="N174" i="3"/>
  <c r="D175" i="3"/>
  <c r="O172" i="3"/>
  <c r="Z172" i="3"/>
  <c r="AA172" i="3" s="1"/>
  <c r="T171" i="3"/>
  <c r="W35" i="3"/>
  <c r="Q35" i="3"/>
  <c r="F140" i="10" l="1"/>
  <c r="R172" i="3"/>
  <c r="S172" i="3" s="1"/>
  <c r="T172" i="3"/>
  <c r="U172" i="3" s="1"/>
  <c r="Y172" i="3"/>
  <c r="P173" i="3"/>
  <c r="Y173" i="3" s="1"/>
  <c r="E39" i="3"/>
  <c r="L38" i="3"/>
  <c r="G38" i="3"/>
  <c r="E174" i="3"/>
  <c r="L174" i="3" s="1"/>
  <c r="M174" i="3"/>
  <c r="V35" i="3"/>
  <c r="U35" i="3"/>
  <c r="O173" i="3"/>
  <c r="Z173" i="3"/>
  <c r="AA173" i="3" s="1"/>
  <c r="W172" i="3"/>
  <c r="Q172" i="3"/>
  <c r="Q36" i="3"/>
  <c r="W36" i="3"/>
  <c r="V171" i="3"/>
  <c r="U171" i="3"/>
  <c r="G175" i="3"/>
  <c r="N175" i="3"/>
  <c r="D176" i="3"/>
  <c r="O37" i="3"/>
  <c r="Z37" i="3"/>
  <c r="AA37" i="3" s="1"/>
  <c r="P37" i="3"/>
  <c r="Y36" i="3"/>
  <c r="X36" i="3"/>
  <c r="T36" i="3"/>
  <c r="R36" i="3"/>
  <c r="S36" i="3" s="1"/>
  <c r="F141" i="10" l="1"/>
  <c r="V172" i="3"/>
  <c r="R173" i="3"/>
  <c r="S173" i="3" s="1"/>
  <c r="X173" i="3"/>
  <c r="T173" i="3"/>
  <c r="U173" i="3" s="1"/>
  <c r="R37" i="3"/>
  <c r="S37" i="3" s="1"/>
  <c r="Y37" i="3"/>
  <c r="T37" i="3"/>
  <c r="X37" i="3"/>
  <c r="E175" i="3"/>
  <c r="L175" i="3" s="1"/>
  <c r="M175" i="3"/>
  <c r="W173" i="3"/>
  <c r="Q173" i="3"/>
  <c r="P38" i="3"/>
  <c r="O38" i="3"/>
  <c r="Z38" i="3"/>
  <c r="AA38" i="3" s="1"/>
  <c r="G176" i="3"/>
  <c r="N176" i="3"/>
  <c r="D177" i="3"/>
  <c r="O174" i="3"/>
  <c r="Z174" i="3"/>
  <c r="AA174" i="3" s="1"/>
  <c r="U36" i="3"/>
  <c r="V36" i="3"/>
  <c r="W37" i="3"/>
  <c r="Q37" i="3"/>
  <c r="P174" i="3"/>
  <c r="E40" i="3"/>
  <c r="L39" i="3"/>
  <c r="G39" i="3"/>
  <c r="F142" i="10" l="1"/>
  <c r="V173" i="3"/>
  <c r="P175" i="3"/>
  <c r="R175" i="3" s="1"/>
  <c r="S175" i="3" s="1"/>
  <c r="R174" i="3"/>
  <c r="S174" i="3" s="1"/>
  <c r="Y174" i="3"/>
  <c r="X174" i="3"/>
  <c r="T174" i="3"/>
  <c r="Y38" i="3"/>
  <c r="X38" i="3"/>
  <c r="T38" i="3"/>
  <c r="R38" i="3"/>
  <c r="S38" i="3" s="1"/>
  <c r="O175" i="3"/>
  <c r="Z175" i="3"/>
  <c r="AA175" i="3" s="1"/>
  <c r="V37" i="3"/>
  <c r="U37" i="3"/>
  <c r="G177" i="3"/>
  <c r="N177" i="3"/>
  <c r="D178" i="3"/>
  <c r="E176" i="3"/>
  <c r="L176" i="3" s="1"/>
  <c r="M176" i="3"/>
  <c r="E41" i="3"/>
  <c r="L40" i="3"/>
  <c r="G40" i="3"/>
  <c r="Q38" i="3"/>
  <c r="W38" i="3"/>
  <c r="O39" i="3"/>
  <c r="Z39" i="3"/>
  <c r="AA39" i="3" s="1"/>
  <c r="P39" i="3"/>
  <c r="W174" i="3"/>
  <c r="Q174" i="3"/>
  <c r="F143" i="10" l="1"/>
  <c r="T175" i="3"/>
  <c r="V175" i="3" s="1"/>
  <c r="X175" i="3"/>
  <c r="Y175" i="3"/>
  <c r="O176" i="3"/>
  <c r="Z176" i="3"/>
  <c r="AA176" i="3" s="1"/>
  <c r="W39" i="3"/>
  <c r="Q39" i="3"/>
  <c r="P40" i="3"/>
  <c r="O40" i="3"/>
  <c r="Z40" i="3"/>
  <c r="AA40" i="3" s="1"/>
  <c r="G178" i="3"/>
  <c r="N178" i="3"/>
  <c r="D179" i="3"/>
  <c r="U38" i="3"/>
  <c r="V38" i="3"/>
  <c r="V174" i="3"/>
  <c r="U174" i="3"/>
  <c r="E42" i="3"/>
  <c r="L41" i="3"/>
  <c r="G41" i="3"/>
  <c r="R39" i="3"/>
  <c r="S39" i="3" s="1"/>
  <c r="Y39" i="3"/>
  <c r="T39" i="3"/>
  <c r="X39" i="3"/>
  <c r="P176" i="3"/>
  <c r="E177" i="3"/>
  <c r="L177" i="3" s="1"/>
  <c r="M177" i="3"/>
  <c r="W175" i="3"/>
  <c r="Q175" i="3"/>
  <c r="F144" i="10" l="1"/>
  <c r="U175" i="3"/>
  <c r="P177" i="3"/>
  <c r="Y177" i="3" s="1"/>
  <c r="R176" i="3"/>
  <c r="S176" i="3" s="1"/>
  <c r="Y176" i="3"/>
  <c r="X176" i="3"/>
  <c r="T176" i="3"/>
  <c r="G179" i="3"/>
  <c r="N179" i="3"/>
  <c r="D180" i="3"/>
  <c r="Y40" i="3"/>
  <c r="X40" i="3"/>
  <c r="T40" i="3"/>
  <c r="R40" i="3"/>
  <c r="S40" i="3" s="1"/>
  <c r="Q40" i="3"/>
  <c r="W40" i="3"/>
  <c r="V39" i="3"/>
  <c r="U39" i="3"/>
  <c r="O41" i="3"/>
  <c r="Z41" i="3"/>
  <c r="AA41" i="3" s="1"/>
  <c r="P41" i="3"/>
  <c r="E178" i="3"/>
  <c r="L178" i="3" s="1"/>
  <c r="M178" i="3"/>
  <c r="O177" i="3"/>
  <c r="Z177" i="3"/>
  <c r="AA177" i="3" s="1"/>
  <c r="E43" i="3"/>
  <c r="L42" i="3"/>
  <c r="G42" i="3"/>
  <c r="W176" i="3"/>
  <c r="Q176" i="3"/>
  <c r="F145" i="10" l="1"/>
  <c r="R177" i="3"/>
  <c r="S177" i="3" s="1"/>
  <c r="X177" i="3"/>
  <c r="P178" i="3"/>
  <c r="R178" i="3" s="1"/>
  <c r="S178" i="3" s="1"/>
  <c r="V176" i="3"/>
  <c r="U176" i="3"/>
  <c r="E44" i="3"/>
  <c r="L43" i="3"/>
  <c r="G43" i="3"/>
  <c r="O178" i="3"/>
  <c r="Z178" i="3"/>
  <c r="AA178" i="3" s="1"/>
  <c r="G180" i="3"/>
  <c r="N180" i="3"/>
  <c r="D181" i="3"/>
  <c r="P42" i="3"/>
  <c r="O42" i="3"/>
  <c r="Z42" i="3"/>
  <c r="AA42" i="3" s="1"/>
  <c r="R41" i="3"/>
  <c r="S41" i="3" s="1"/>
  <c r="Y41" i="3"/>
  <c r="X41" i="3"/>
  <c r="T41" i="3"/>
  <c r="U40" i="3"/>
  <c r="V40" i="3"/>
  <c r="W41" i="3"/>
  <c r="Q41" i="3"/>
  <c r="W177" i="3"/>
  <c r="Q177" i="3"/>
  <c r="T177" i="3"/>
  <c r="E179" i="3"/>
  <c r="L179" i="3" s="1"/>
  <c r="M179" i="3"/>
  <c r="F146" i="10" l="1"/>
  <c r="T178" i="3"/>
  <c r="V178" i="3" s="1"/>
  <c r="X178" i="3"/>
  <c r="Y178" i="3"/>
  <c r="E180" i="3"/>
  <c r="L180" i="3" s="1"/>
  <c r="M180" i="3"/>
  <c r="Y42" i="3"/>
  <c r="X42" i="3"/>
  <c r="T42" i="3"/>
  <c r="R42" i="3"/>
  <c r="S42" i="3" s="1"/>
  <c r="E45" i="3"/>
  <c r="L44" i="3"/>
  <c r="G44" i="3"/>
  <c r="V177" i="3"/>
  <c r="U177" i="3"/>
  <c r="Q42" i="3"/>
  <c r="W42" i="3"/>
  <c r="P179" i="3"/>
  <c r="G181" i="3"/>
  <c r="N181" i="3"/>
  <c r="D182" i="3"/>
  <c r="W178" i="3"/>
  <c r="Q178" i="3"/>
  <c r="O43" i="3"/>
  <c r="Z43" i="3"/>
  <c r="AA43" i="3" s="1"/>
  <c r="P43" i="3"/>
  <c r="O179" i="3"/>
  <c r="Z179" i="3"/>
  <c r="AA179" i="3" s="1"/>
  <c r="V41" i="3"/>
  <c r="U41" i="3"/>
  <c r="F147" i="10" l="1"/>
  <c r="U178" i="3"/>
  <c r="R43" i="3"/>
  <c r="S43" i="3" s="1"/>
  <c r="Y43" i="3"/>
  <c r="X43" i="3"/>
  <c r="T43" i="3"/>
  <c r="G182" i="3"/>
  <c r="N182" i="3"/>
  <c r="D183" i="3"/>
  <c r="U42" i="3"/>
  <c r="V42" i="3"/>
  <c r="W43" i="3"/>
  <c r="Q43" i="3"/>
  <c r="P44" i="3"/>
  <c r="O44" i="3"/>
  <c r="Z44" i="3"/>
  <c r="AA44" i="3" s="1"/>
  <c r="P180" i="3"/>
  <c r="R179" i="3"/>
  <c r="S179" i="3" s="1"/>
  <c r="Y179" i="3"/>
  <c r="X179" i="3"/>
  <c r="T179" i="3"/>
  <c r="W179" i="3"/>
  <c r="Q179" i="3"/>
  <c r="E181" i="3"/>
  <c r="L181" i="3" s="1"/>
  <c r="M181" i="3"/>
  <c r="E46" i="3"/>
  <c r="L45" i="3"/>
  <c r="G45" i="3"/>
  <c r="O180" i="3"/>
  <c r="Z180" i="3"/>
  <c r="AA180" i="3" s="1"/>
  <c r="F148" i="10" l="1"/>
  <c r="E47" i="3"/>
  <c r="L46" i="3"/>
  <c r="G46" i="3"/>
  <c r="V43" i="3"/>
  <c r="U43" i="3"/>
  <c r="W180" i="3"/>
  <c r="Q180" i="3"/>
  <c r="P181" i="3"/>
  <c r="V179" i="3"/>
  <c r="U179" i="3"/>
  <c r="R180" i="3"/>
  <c r="S180" i="3" s="1"/>
  <c r="Y180" i="3"/>
  <c r="X180" i="3"/>
  <c r="T180" i="3"/>
  <c r="G183" i="3"/>
  <c r="N183" i="3"/>
  <c r="D184" i="3"/>
  <c r="Y44" i="3"/>
  <c r="X44" i="3"/>
  <c r="T44" i="3"/>
  <c r="R44" i="3"/>
  <c r="S44" i="3" s="1"/>
  <c r="O181" i="3"/>
  <c r="Z181" i="3"/>
  <c r="AA181" i="3" s="1"/>
  <c r="O45" i="3"/>
  <c r="Z45" i="3"/>
  <c r="AA45" i="3" s="1"/>
  <c r="P45" i="3"/>
  <c r="Q44" i="3"/>
  <c r="W44" i="3"/>
  <c r="E182" i="3"/>
  <c r="L182" i="3" s="1"/>
  <c r="M182" i="3"/>
  <c r="F149" i="10" l="1"/>
  <c r="E183" i="3"/>
  <c r="L183" i="3" s="1"/>
  <c r="M183" i="3"/>
  <c r="R181" i="3"/>
  <c r="S181" i="3" s="1"/>
  <c r="Y181" i="3"/>
  <c r="X181" i="3"/>
  <c r="T181" i="3"/>
  <c r="P182" i="3"/>
  <c r="R45" i="3"/>
  <c r="S45" i="3" s="1"/>
  <c r="Y45" i="3"/>
  <c r="T45" i="3"/>
  <c r="X45" i="3"/>
  <c r="W181" i="3"/>
  <c r="Q181" i="3"/>
  <c r="V180" i="3"/>
  <c r="U180" i="3"/>
  <c r="P46" i="3"/>
  <c r="O46" i="3"/>
  <c r="Z46" i="3"/>
  <c r="AA46" i="3" s="1"/>
  <c r="W45" i="3"/>
  <c r="Q45" i="3"/>
  <c r="U44" i="3"/>
  <c r="V44" i="3"/>
  <c r="O182" i="3"/>
  <c r="Z182" i="3"/>
  <c r="AA182" i="3" s="1"/>
  <c r="G184" i="3"/>
  <c r="N184" i="3"/>
  <c r="D185" i="3"/>
  <c r="E48" i="3"/>
  <c r="L47" i="3"/>
  <c r="G47" i="3"/>
  <c r="F150" i="10" l="1"/>
  <c r="G185" i="3"/>
  <c r="N185" i="3"/>
  <c r="D186" i="3"/>
  <c r="W182" i="3"/>
  <c r="Q182" i="3"/>
  <c r="R182" i="3"/>
  <c r="S182" i="3" s="1"/>
  <c r="Y182" i="3"/>
  <c r="X182" i="3"/>
  <c r="T182" i="3"/>
  <c r="E49" i="3"/>
  <c r="L48" i="3"/>
  <c r="G48" i="3"/>
  <c r="V45" i="3"/>
  <c r="U45" i="3"/>
  <c r="V181" i="3"/>
  <c r="U181" i="3"/>
  <c r="P183" i="3"/>
  <c r="Y46" i="3"/>
  <c r="X46" i="3"/>
  <c r="T46" i="3"/>
  <c r="R46" i="3"/>
  <c r="S46" i="3" s="1"/>
  <c r="O47" i="3"/>
  <c r="Z47" i="3"/>
  <c r="AA47" i="3" s="1"/>
  <c r="P47" i="3"/>
  <c r="E184" i="3"/>
  <c r="L184" i="3" s="1"/>
  <c r="M184" i="3"/>
  <c r="Q46" i="3"/>
  <c r="W46" i="3"/>
  <c r="O183" i="3"/>
  <c r="Z183" i="3"/>
  <c r="AA183" i="3" s="1"/>
  <c r="F151" i="10" l="1"/>
  <c r="P184" i="3"/>
  <c r="X184" i="3" s="1"/>
  <c r="R47" i="3"/>
  <c r="S47" i="3" s="1"/>
  <c r="Y47" i="3"/>
  <c r="X47" i="3"/>
  <c r="T47" i="3"/>
  <c r="P48" i="3"/>
  <c r="O48" i="3"/>
  <c r="Z48" i="3"/>
  <c r="AA48" i="3" s="1"/>
  <c r="D187" i="3"/>
  <c r="G186" i="3"/>
  <c r="N186" i="3"/>
  <c r="W47" i="3"/>
  <c r="Q47" i="3"/>
  <c r="E50" i="3"/>
  <c r="L49" i="3"/>
  <c r="G49" i="3"/>
  <c r="U46" i="3"/>
  <c r="V46" i="3"/>
  <c r="W183" i="3"/>
  <c r="Q183" i="3"/>
  <c r="O184" i="3"/>
  <c r="Z184" i="3"/>
  <c r="AA184" i="3" s="1"/>
  <c r="R183" i="3"/>
  <c r="S183" i="3" s="1"/>
  <c r="Y183" i="3"/>
  <c r="X183" i="3"/>
  <c r="T183" i="3"/>
  <c r="V182" i="3"/>
  <c r="U182" i="3"/>
  <c r="E185" i="3"/>
  <c r="L185" i="3" s="1"/>
  <c r="M185" i="3"/>
  <c r="F152" i="10" l="1"/>
  <c r="Y184" i="3"/>
  <c r="T184" i="3"/>
  <c r="U184" i="3" s="1"/>
  <c r="R184" i="3"/>
  <c r="S184" i="3" s="1"/>
  <c r="D188" i="3"/>
  <c r="G187" i="3"/>
  <c r="N187" i="3"/>
  <c r="V47" i="3"/>
  <c r="U47" i="3"/>
  <c r="O49" i="3"/>
  <c r="Z49" i="3"/>
  <c r="AA49" i="3" s="1"/>
  <c r="P49" i="3"/>
  <c r="Q48" i="3"/>
  <c r="W48" i="3"/>
  <c r="O185" i="3"/>
  <c r="Z185" i="3"/>
  <c r="AA185" i="3" s="1"/>
  <c r="W184" i="3"/>
  <c r="Q184" i="3"/>
  <c r="P185" i="3"/>
  <c r="V183" i="3"/>
  <c r="U183" i="3"/>
  <c r="E51" i="3"/>
  <c r="L50" i="3"/>
  <c r="G50" i="3"/>
  <c r="E186" i="3"/>
  <c r="L186" i="3" s="1"/>
  <c r="M186" i="3"/>
  <c r="Y48" i="3"/>
  <c r="X48" i="3"/>
  <c r="T48" i="3"/>
  <c r="R48" i="3"/>
  <c r="S48" i="3" s="1"/>
  <c r="F153" i="10" l="1"/>
  <c r="V184" i="3"/>
  <c r="P186" i="3"/>
  <c r="E52" i="3"/>
  <c r="L51" i="3"/>
  <c r="G51" i="3"/>
  <c r="W49" i="3"/>
  <c r="Q49" i="3"/>
  <c r="E187" i="3"/>
  <c r="L187" i="3" s="1"/>
  <c r="M187" i="3"/>
  <c r="U48" i="3"/>
  <c r="V48" i="3"/>
  <c r="Z186" i="3"/>
  <c r="AA186" i="3" s="1"/>
  <c r="O186" i="3"/>
  <c r="D189" i="3"/>
  <c r="G188" i="3"/>
  <c r="N188" i="3"/>
  <c r="R49" i="3"/>
  <c r="S49" i="3" s="1"/>
  <c r="Y49" i="3"/>
  <c r="X49" i="3"/>
  <c r="T49" i="3"/>
  <c r="P50" i="3"/>
  <c r="O50" i="3"/>
  <c r="Z50" i="3"/>
  <c r="AA50" i="3" s="1"/>
  <c r="R185" i="3"/>
  <c r="S185" i="3" s="1"/>
  <c r="Y185" i="3"/>
  <c r="X185" i="3"/>
  <c r="T185" i="3"/>
  <c r="W185" i="3"/>
  <c r="Q185" i="3"/>
  <c r="F154" i="10" l="1"/>
  <c r="Y50" i="3"/>
  <c r="X50" i="3"/>
  <c r="T50" i="3"/>
  <c r="R50" i="3"/>
  <c r="S50" i="3" s="1"/>
  <c r="Q186" i="3"/>
  <c r="W186" i="3"/>
  <c r="P187" i="3"/>
  <c r="V49" i="3"/>
  <c r="U49" i="3"/>
  <c r="O187" i="3"/>
  <c r="Z187" i="3"/>
  <c r="AA187" i="3" s="1"/>
  <c r="O51" i="3"/>
  <c r="Z51" i="3"/>
  <c r="AA51" i="3" s="1"/>
  <c r="P51" i="3"/>
  <c r="V185" i="3"/>
  <c r="U185" i="3"/>
  <c r="E188" i="3"/>
  <c r="L188" i="3" s="1"/>
  <c r="M188" i="3"/>
  <c r="E53" i="3"/>
  <c r="L52" i="3"/>
  <c r="G52" i="3"/>
  <c r="Q50" i="3"/>
  <c r="W50" i="3"/>
  <c r="D190" i="3"/>
  <c r="G189" i="3"/>
  <c r="N189" i="3"/>
  <c r="Y186" i="3"/>
  <c r="T186" i="3"/>
  <c r="X186" i="3"/>
  <c r="R186" i="3"/>
  <c r="S186" i="3" s="1"/>
  <c r="F155" i="10" l="1"/>
  <c r="U186" i="3"/>
  <c r="V186" i="3"/>
  <c r="D191" i="3"/>
  <c r="G190" i="3"/>
  <c r="N190" i="3"/>
  <c r="P52" i="3"/>
  <c r="O52" i="3"/>
  <c r="Z52" i="3"/>
  <c r="AA52" i="3" s="1"/>
  <c r="W51" i="3"/>
  <c r="Q51" i="3"/>
  <c r="E54" i="3"/>
  <c r="L53" i="3"/>
  <c r="G53" i="3"/>
  <c r="Y187" i="3"/>
  <c r="X187" i="3"/>
  <c r="T187" i="3"/>
  <c r="R187" i="3"/>
  <c r="S187" i="3" s="1"/>
  <c r="U50" i="3"/>
  <c r="V50" i="3"/>
  <c r="P188" i="3"/>
  <c r="R51" i="3"/>
  <c r="S51" i="3" s="1"/>
  <c r="Y51" i="3"/>
  <c r="X51" i="3"/>
  <c r="T51" i="3"/>
  <c r="Q187" i="3"/>
  <c r="W187" i="3"/>
  <c r="E189" i="3"/>
  <c r="L189" i="3" s="1"/>
  <c r="M189" i="3"/>
  <c r="O188" i="3"/>
  <c r="Z188" i="3"/>
  <c r="AA188" i="3" s="1"/>
  <c r="F156" i="10" l="1"/>
  <c r="P189" i="3"/>
  <c r="V51" i="3"/>
  <c r="U51" i="3"/>
  <c r="Y188" i="3"/>
  <c r="X188" i="3"/>
  <c r="T188" i="3"/>
  <c r="R188" i="3"/>
  <c r="S188" i="3" s="1"/>
  <c r="U187" i="3"/>
  <c r="V187" i="3"/>
  <c r="O53" i="3"/>
  <c r="Z53" i="3"/>
  <c r="AA53" i="3" s="1"/>
  <c r="P53" i="3"/>
  <c r="E190" i="3"/>
  <c r="L190" i="3" s="1"/>
  <c r="M190" i="3"/>
  <c r="O189" i="3"/>
  <c r="Z189" i="3"/>
  <c r="AA189" i="3" s="1"/>
  <c r="E55" i="3"/>
  <c r="L54" i="3"/>
  <c r="G54" i="3"/>
  <c r="Q52" i="3"/>
  <c r="W52" i="3"/>
  <c r="D192" i="3"/>
  <c r="G191" i="3"/>
  <c r="N191" i="3"/>
  <c r="Y52" i="3"/>
  <c r="X52" i="3"/>
  <c r="T52" i="3"/>
  <c r="R52" i="3"/>
  <c r="S52" i="3" s="1"/>
  <c r="Q188" i="3"/>
  <c r="W188" i="3"/>
  <c r="F157" i="10" l="1"/>
  <c r="R53" i="3"/>
  <c r="S53" i="3" s="1"/>
  <c r="Y53" i="3"/>
  <c r="T53" i="3"/>
  <c r="X53" i="3"/>
  <c r="U52" i="3"/>
  <c r="V52" i="3"/>
  <c r="E191" i="3"/>
  <c r="L191" i="3" s="1"/>
  <c r="M191" i="3"/>
  <c r="Q189" i="3"/>
  <c r="W189" i="3"/>
  <c r="D193" i="3"/>
  <c r="G192" i="3"/>
  <c r="N192" i="3"/>
  <c r="P54" i="3"/>
  <c r="O54" i="3"/>
  <c r="Z54" i="3"/>
  <c r="AA54" i="3" s="1"/>
  <c r="P190" i="3"/>
  <c r="W53" i="3"/>
  <c r="Q53" i="3"/>
  <c r="U188" i="3"/>
  <c r="V188" i="3"/>
  <c r="E56" i="3"/>
  <c r="L55" i="3"/>
  <c r="G55" i="3"/>
  <c r="O190" i="3"/>
  <c r="Z190" i="3"/>
  <c r="AA190" i="3" s="1"/>
  <c r="Y189" i="3"/>
  <c r="X189" i="3"/>
  <c r="T189" i="3"/>
  <c r="R189" i="3"/>
  <c r="S189" i="3" s="1"/>
  <c r="F158" i="10" l="1"/>
  <c r="E192" i="3"/>
  <c r="L192" i="3" s="1"/>
  <c r="M192" i="3"/>
  <c r="P191" i="3"/>
  <c r="O55" i="3"/>
  <c r="Z55" i="3"/>
  <c r="AA55" i="3" s="1"/>
  <c r="P55" i="3"/>
  <c r="Q54" i="3"/>
  <c r="W54" i="3"/>
  <c r="D194" i="3"/>
  <c r="G193" i="3"/>
  <c r="N193" i="3"/>
  <c r="O191" i="3"/>
  <c r="Z191" i="3"/>
  <c r="AA191" i="3" s="1"/>
  <c r="V53" i="3"/>
  <c r="U53" i="3"/>
  <c r="E57" i="3"/>
  <c r="L56" i="3"/>
  <c r="G56" i="3"/>
  <c r="Y54" i="3"/>
  <c r="X54" i="3"/>
  <c r="T54" i="3"/>
  <c r="R54" i="3"/>
  <c r="S54" i="3" s="1"/>
  <c r="U189" i="3"/>
  <c r="V189" i="3"/>
  <c r="Q190" i="3"/>
  <c r="W190" i="3"/>
  <c r="Y190" i="3"/>
  <c r="X190" i="3"/>
  <c r="T190" i="3"/>
  <c r="R190" i="3"/>
  <c r="S190" i="3" s="1"/>
  <c r="F159" i="10" l="1"/>
  <c r="P192" i="3"/>
  <c r="Y192" i="3" s="1"/>
  <c r="E58" i="3"/>
  <c r="L57" i="3"/>
  <c r="G57" i="3"/>
  <c r="Q191" i="3"/>
  <c r="W191" i="3"/>
  <c r="W55" i="3"/>
  <c r="Q55" i="3"/>
  <c r="Y191" i="3"/>
  <c r="X191" i="3"/>
  <c r="T191" i="3"/>
  <c r="R191" i="3"/>
  <c r="S191" i="3" s="1"/>
  <c r="E193" i="3"/>
  <c r="L193" i="3" s="1"/>
  <c r="M193" i="3"/>
  <c r="R55" i="3"/>
  <c r="S55" i="3" s="1"/>
  <c r="Y55" i="3"/>
  <c r="X55" i="3"/>
  <c r="T55" i="3"/>
  <c r="U190" i="3"/>
  <c r="V190" i="3"/>
  <c r="U54" i="3"/>
  <c r="V54" i="3"/>
  <c r="P56" i="3"/>
  <c r="O56" i="3"/>
  <c r="Z56" i="3"/>
  <c r="AA56" i="3" s="1"/>
  <c r="D195" i="3"/>
  <c r="G194" i="3"/>
  <c r="N194" i="3"/>
  <c r="O192" i="3"/>
  <c r="Z192" i="3"/>
  <c r="AA192" i="3" s="1"/>
  <c r="F160" i="10" l="1"/>
  <c r="R192" i="3"/>
  <c r="S192" i="3" s="1"/>
  <c r="X192" i="3"/>
  <c r="Q192" i="3"/>
  <c r="W192" i="3"/>
  <c r="O193" i="3"/>
  <c r="Z193" i="3"/>
  <c r="AA193" i="3" s="1"/>
  <c r="Q56" i="3"/>
  <c r="W56" i="3"/>
  <c r="E194" i="3"/>
  <c r="L194" i="3" s="1"/>
  <c r="M194" i="3"/>
  <c r="Y56" i="3"/>
  <c r="X56" i="3"/>
  <c r="T56" i="3"/>
  <c r="R56" i="3"/>
  <c r="S56" i="3" s="1"/>
  <c r="U191" i="3"/>
  <c r="V191" i="3"/>
  <c r="O57" i="3"/>
  <c r="Z57" i="3"/>
  <c r="AA57" i="3" s="1"/>
  <c r="P57" i="3"/>
  <c r="T192" i="3"/>
  <c r="D196" i="3"/>
  <c r="G195" i="3"/>
  <c r="N195" i="3"/>
  <c r="V55" i="3"/>
  <c r="U55" i="3"/>
  <c r="P193" i="3"/>
  <c r="E59" i="3"/>
  <c r="L58" i="3"/>
  <c r="G58" i="3"/>
  <c r="F161" i="10" l="1"/>
  <c r="P194" i="3"/>
  <c r="Y194" i="3" s="1"/>
  <c r="Y193" i="3"/>
  <c r="X193" i="3"/>
  <c r="T193" i="3"/>
  <c r="R193" i="3"/>
  <c r="S193" i="3" s="1"/>
  <c r="D197" i="3"/>
  <c r="G196" i="3"/>
  <c r="N196" i="3"/>
  <c r="W57" i="3"/>
  <c r="Q57" i="3"/>
  <c r="U56" i="3"/>
  <c r="V56" i="3"/>
  <c r="O194" i="3"/>
  <c r="Z194" i="3"/>
  <c r="AA194" i="3" s="1"/>
  <c r="Q193" i="3"/>
  <c r="W193" i="3"/>
  <c r="U192" i="3"/>
  <c r="V192" i="3"/>
  <c r="E195" i="3"/>
  <c r="L195" i="3" s="1"/>
  <c r="M195" i="3"/>
  <c r="P58" i="3"/>
  <c r="O58" i="3"/>
  <c r="Z58" i="3"/>
  <c r="AA58" i="3" s="1"/>
  <c r="E60" i="3"/>
  <c r="L59" i="3"/>
  <c r="G59" i="3"/>
  <c r="R57" i="3"/>
  <c r="S57" i="3" s="1"/>
  <c r="Y57" i="3"/>
  <c r="X57" i="3"/>
  <c r="T57" i="3"/>
  <c r="F162" i="10" l="1"/>
  <c r="P195" i="3"/>
  <c r="X195" i="3" s="1"/>
  <c r="R194" i="3"/>
  <c r="S194" i="3" s="1"/>
  <c r="X194" i="3"/>
  <c r="Y58" i="3"/>
  <c r="X58" i="3"/>
  <c r="T58" i="3"/>
  <c r="R58" i="3"/>
  <c r="S58" i="3" s="1"/>
  <c r="Q194" i="3"/>
  <c r="W194" i="3"/>
  <c r="E61" i="3"/>
  <c r="L60" i="3"/>
  <c r="G60" i="3"/>
  <c r="T194" i="3"/>
  <c r="U193" i="3"/>
  <c r="V193" i="3"/>
  <c r="O195" i="3"/>
  <c r="Z195" i="3"/>
  <c r="AA195" i="3" s="1"/>
  <c r="E196" i="3"/>
  <c r="L196" i="3" s="1"/>
  <c r="M196" i="3"/>
  <c r="O59" i="3"/>
  <c r="Z59" i="3"/>
  <c r="AA59" i="3" s="1"/>
  <c r="P59" i="3"/>
  <c r="V57" i="3"/>
  <c r="U57" i="3"/>
  <c r="Q58" i="3"/>
  <c r="W58" i="3"/>
  <c r="D198" i="3"/>
  <c r="G197" i="3"/>
  <c r="N197" i="3"/>
  <c r="F163" i="10" l="1"/>
  <c r="Y195" i="3"/>
  <c r="T195" i="3"/>
  <c r="U195" i="3" s="1"/>
  <c r="R195" i="3"/>
  <c r="S195" i="3" s="1"/>
  <c r="P196" i="3"/>
  <c r="X196" i="3" s="1"/>
  <c r="R59" i="3"/>
  <c r="S59" i="3" s="1"/>
  <c r="Y59" i="3"/>
  <c r="X59" i="3"/>
  <c r="T59" i="3"/>
  <c r="O196" i="3"/>
  <c r="Z196" i="3"/>
  <c r="AA196" i="3" s="1"/>
  <c r="E62" i="3"/>
  <c r="L61" i="3"/>
  <c r="G61" i="3"/>
  <c r="U58" i="3"/>
  <c r="V58" i="3"/>
  <c r="D199" i="3"/>
  <c r="G198" i="3"/>
  <c r="N198" i="3"/>
  <c r="P60" i="3"/>
  <c r="O60" i="3"/>
  <c r="Z60" i="3"/>
  <c r="AA60" i="3" s="1"/>
  <c r="U194" i="3"/>
  <c r="V194" i="3"/>
  <c r="E197" i="3"/>
  <c r="L197" i="3" s="1"/>
  <c r="M197" i="3"/>
  <c r="W59" i="3"/>
  <c r="Q59" i="3"/>
  <c r="Q195" i="3"/>
  <c r="W195" i="3"/>
  <c r="V195" i="3" l="1"/>
  <c r="F164" i="10"/>
  <c r="Y196" i="3"/>
  <c r="R196" i="3"/>
  <c r="S196" i="3" s="1"/>
  <c r="T196" i="3"/>
  <c r="V196" i="3" s="1"/>
  <c r="P197" i="3"/>
  <c r="Y197" i="3" s="1"/>
  <c r="D200" i="3"/>
  <c r="G199" i="3"/>
  <c r="N199" i="3"/>
  <c r="O61" i="3"/>
  <c r="Z61" i="3"/>
  <c r="AA61" i="3" s="1"/>
  <c r="P61" i="3"/>
  <c r="V59" i="3"/>
  <c r="U59" i="3"/>
  <c r="Y60" i="3"/>
  <c r="X60" i="3"/>
  <c r="T60" i="3"/>
  <c r="R60" i="3"/>
  <c r="S60" i="3" s="1"/>
  <c r="E63" i="3"/>
  <c r="L62" i="3"/>
  <c r="G62" i="3"/>
  <c r="Q60" i="3"/>
  <c r="W60" i="3"/>
  <c r="O197" i="3"/>
  <c r="Z197" i="3"/>
  <c r="AA197" i="3" s="1"/>
  <c r="E198" i="3"/>
  <c r="L198" i="3" s="1"/>
  <c r="M198" i="3"/>
  <c r="Q196" i="3"/>
  <c r="W196" i="3"/>
  <c r="F165" i="10" l="1"/>
  <c r="U196" i="3"/>
  <c r="R197" i="3"/>
  <c r="S197" i="3" s="1"/>
  <c r="X197" i="3"/>
  <c r="T197" i="3"/>
  <c r="V197" i="3" s="1"/>
  <c r="P198" i="3"/>
  <c r="Y198" i="3" s="1"/>
  <c r="W61" i="3"/>
  <c r="Q61" i="3"/>
  <c r="U60" i="3"/>
  <c r="V60" i="3"/>
  <c r="O198" i="3"/>
  <c r="Z198" i="3"/>
  <c r="AA198" i="3" s="1"/>
  <c r="Q197" i="3"/>
  <c r="W197" i="3"/>
  <c r="P62" i="3"/>
  <c r="O62" i="3"/>
  <c r="Z62" i="3"/>
  <c r="AA62" i="3" s="1"/>
  <c r="R61" i="3"/>
  <c r="S61" i="3" s="1"/>
  <c r="Y61" i="3"/>
  <c r="T61" i="3"/>
  <c r="X61" i="3"/>
  <c r="E199" i="3"/>
  <c r="L199" i="3" s="1"/>
  <c r="M199" i="3"/>
  <c r="E64" i="3"/>
  <c r="L63" i="3"/>
  <c r="G63" i="3"/>
  <c r="D201" i="3"/>
  <c r="G200" i="3"/>
  <c r="N200" i="3"/>
  <c r="F166" i="10" l="1"/>
  <c r="U197" i="3"/>
  <c r="R198" i="3"/>
  <c r="S198" i="3" s="1"/>
  <c r="X198" i="3"/>
  <c r="E200" i="3"/>
  <c r="L200" i="3" s="1"/>
  <c r="M200" i="3"/>
  <c r="E65" i="3"/>
  <c r="L64" i="3"/>
  <c r="G64" i="3"/>
  <c r="V61" i="3"/>
  <c r="U61" i="3"/>
  <c r="Q62" i="3"/>
  <c r="W62" i="3"/>
  <c r="D202" i="3"/>
  <c r="G201" i="3"/>
  <c r="N201" i="3"/>
  <c r="P199" i="3"/>
  <c r="Y62" i="3"/>
  <c r="X62" i="3"/>
  <c r="T62" i="3"/>
  <c r="R62" i="3"/>
  <c r="S62" i="3" s="1"/>
  <c r="Q198" i="3"/>
  <c r="W198" i="3"/>
  <c r="O199" i="3"/>
  <c r="Z199" i="3"/>
  <c r="AA199" i="3" s="1"/>
  <c r="O63" i="3"/>
  <c r="Z63" i="3"/>
  <c r="AA63" i="3" s="1"/>
  <c r="P63" i="3"/>
  <c r="T198" i="3"/>
  <c r="F167" i="10" l="1"/>
  <c r="P200" i="3"/>
  <c r="Y200" i="3" s="1"/>
  <c r="R63" i="3"/>
  <c r="S63" i="3" s="1"/>
  <c r="Y63" i="3"/>
  <c r="X63" i="3"/>
  <c r="T63" i="3"/>
  <c r="Q199" i="3"/>
  <c r="W199" i="3"/>
  <c r="U62" i="3"/>
  <c r="V62" i="3"/>
  <c r="P64" i="3"/>
  <c r="O64" i="3"/>
  <c r="Z64" i="3"/>
  <c r="AA64" i="3" s="1"/>
  <c r="E201" i="3"/>
  <c r="L201" i="3" s="1"/>
  <c r="M201" i="3"/>
  <c r="E66" i="3"/>
  <c r="L65" i="3"/>
  <c r="G65" i="3"/>
  <c r="W63" i="3"/>
  <c r="Q63" i="3"/>
  <c r="D203" i="3"/>
  <c r="G202" i="3"/>
  <c r="N202" i="3"/>
  <c r="U198" i="3"/>
  <c r="V198" i="3"/>
  <c r="Y199" i="3"/>
  <c r="X199" i="3"/>
  <c r="T199" i="3"/>
  <c r="R199" i="3"/>
  <c r="S199" i="3" s="1"/>
  <c r="O200" i="3"/>
  <c r="Z200" i="3"/>
  <c r="AA200" i="3" s="1"/>
  <c r="F168" i="10" l="1"/>
  <c r="T200" i="3"/>
  <c r="U200" i="3" s="1"/>
  <c r="R200" i="3"/>
  <c r="S200" i="3" s="1"/>
  <c r="X200" i="3"/>
  <c r="E202" i="3"/>
  <c r="L202" i="3" s="1"/>
  <c r="M202" i="3"/>
  <c r="D204" i="3"/>
  <c r="G203" i="3"/>
  <c r="N203" i="3"/>
  <c r="O65" i="3"/>
  <c r="Z65" i="3"/>
  <c r="AA65" i="3" s="1"/>
  <c r="P65" i="3"/>
  <c r="Q200" i="3"/>
  <c r="W200" i="3"/>
  <c r="O201" i="3"/>
  <c r="Z201" i="3"/>
  <c r="AA201" i="3" s="1"/>
  <c r="V63" i="3"/>
  <c r="U63" i="3"/>
  <c r="U199" i="3"/>
  <c r="V199" i="3"/>
  <c r="E67" i="3"/>
  <c r="L66" i="3"/>
  <c r="G66" i="3"/>
  <c r="Q64" i="3"/>
  <c r="W64" i="3"/>
  <c r="P201" i="3"/>
  <c r="Y64" i="3"/>
  <c r="X64" i="3"/>
  <c r="T64" i="3"/>
  <c r="R64" i="3"/>
  <c r="S64" i="3" s="1"/>
  <c r="F169" i="10" l="1"/>
  <c r="V200" i="3"/>
  <c r="P202" i="3"/>
  <c r="R202" i="3" s="1"/>
  <c r="S202" i="3" s="1"/>
  <c r="Y201" i="3"/>
  <c r="X201" i="3"/>
  <c r="T201" i="3"/>
  <c r="R201" i="3"/>
  <c r="S201" i="3" s="1"/>
  <c r="W65" i="3"/>
  <c r="Q65" i="3"/>
  <c r="U64" i="3"/>
  <c r="V64" i="3"/>
  <c r="E68" i="3"/>
  <c r="L67" i="3"/>
  <c r="G67" i="3"/>
  <c r="O202" i="3"/>
  <c r="Z202" i="3"/>
  <c r="AA202" i="3" s="1"/>
  <c r="P66" i="3"/>
  <c r="O66" i="3"/>
  <c r="Z66" i="3"/>
  <c r="AA66" i="3" s="1"/>
  <c r="R65" i="3"/>
  <c r="S65" i="3" s="1"/>
  <c r="Y65" i="3"/>
  <c r="X65" i="3"/>
  <c r="T65" i="3"/>
  <c r="E203" i="3"/>
  <c r="L203" i="3" s="1"/>
  <c r="M203" i="3"/>
  <c r="Q201" i="3"/>
  <c r="W201" i="3"/>
  <c r="D205" i="3"/>
  <c r="G204" i="3"/>
  <c r="N204" i="3"/>
  <c r="F170" i="10" l="1"/>
  <c r="Y202" i="3"/>
  <c r="X202" i="3"/>
  <c r="P203" i="3"/>
  <c r="X203" i="3" s="1"/>
  <c r="Q202" i="3"/>
  <c r="W202" i="3"/>
  <c r="Q66" i="3"/>
  <c r="W66" i="3"/>
  <c r="U201" i="3"/>
  <c r="V201" i="3"/>
  <c r="E204" i="3"/>
  <c r="L204" i="3" s="1"/>
  <c r="M204" i="3"/>
  <c r="Y66" i="3"/>
  <c r="X66" i="3"/>
  <c r="T66" i="3"/>
  <c r="R66" i="3"/>
  <c r="S66" i="3" s="1"/>
  <c r="O67" i="3"/>
  <c r="Z67" i="3"/>
  <c r="AA67" i="3" s="1"/>
  <c r="P67" i="3"/>
  <c r="V65" i="3"/>
  <c r="U65" i="3"/>
  <c r="D206" i="3"/>
  <c r="G205" i="3"/>
  <c r="N205" i="3"/>
  <c r="T202" i="3"/>
  <c r="O203" i="3"/>
  <c r="Z203" i="3"/>
  <c r="AA203" i="3" s="1"/>
  <c r="E69" i="3"/>
  <c r="L68" i="3"/>
  <c r="G68" i="3"/>
  <c r="F171" i="10" l="1"/>
  <c r="Y203" i="3"/>
  <c r="T203" i="3"/>
  <c r="U203" i="3" s="1"/>
  <c r="R203" i="3"/>
  <c r="S203" i="3" s="1"/>
  <c r="P204" i="3"/>
  <c r="R204" i="3" s="1"/>
  <c r="S204" i="3" s="1"/>
  <c r="E205" i="3"/>
  <c r="L205" i="3" s="1"/>
  <c r="M205" i="3"/>
  <c r="R67" i="3"/>
  <c r="S67" i="3" s="1"/>
  <c r="Y67" i="3"/>
  <c r="X67" i="3"/>
  <c r="T67" i="3"/>
  <c r="U66" i="3"/>
  <c r="V66" i="3"/>
  <c r="O204" i="3"/>
  <c r="Z204" i="3"/>
  <c r="AA204" i="3" s="1"/>
  <c r="Q203" i="3"/>
  <c r="W203" i="3"/>
  <c r="D207" i="3"/>
  <c r="G206" i="3"/>
  <c r="N206" i="3"/>
  <c r="E70" i="3"/>
  <c r="L69" i="3"/>
  <c r="G69" i="3"/>
  <c r="P68" i="3"/>
  <c r="O68" i="3"/>
  <c r="Z68" i="3"/>
  <c r="AA68" i="3" s="1"/>
  <c r="U202" i="3"/>
  <c r="V202" i="3"/>
  <c r="W67" i="3"/>
  <c r="Q67" i="3"/>
  <c r="F172" i="10" l="1"/>
  <c r="X204" i="3"/>
  <c r="V203" i="3"/>
  <c r="T204" i="3"/>
  <c r="V204" i="3" s="1"/>
  <c r="Y204" i="3"/>
  <c r="D208" i="3"/>
  <c r="G207" i="3"/>
  <c r="N207" i="3"/>
  <c r="Q204" i="3"/>
  <c r="W204" i="3"/>
  <c r="E206" i="3"/>
  <c r="L206" i="3" s="1"/>
  <c r="M206" i="3"/>
  <c r="V67" i="3"/>
  <c r="U67" i="3"/>
  <c r="P205" i="3"/>
  <c r="O69" i="3"/>
  <c r="Z69" i="3"/>
  <c r="AA69" i="3" s="1"/>
  <c r="P69" i="3"/>
  <c r="O205" i="3"/>
  <c r="Z205" i="3"/>
  <c r="AA205" i="3" s="1"/>
  <c r="Q68" i="3"/>
  <c r="W68" i="3"/>
  <c r="E71" i="3"/>
  <c r="L70" i="3"/>
  <c r="G70" i="3"/>
  <c r="Y68" i="3"/>
  <c r="X68" i="3"/>
  <c r="T68" i="3"/>
  <c r="R68" i="3"/>
  <c r="S68" i="3" s="1"/>
  <c r="F173" i="10" l="1"/>
  <c r="U204" i="3"/>
  <c r="E72" i="3"/>
  <c r="L71" i="3"/>
  <c r="G71" i="3"/>
  <c r="Q205" i="3"/>
  <c r="W205" i="3"/>
  <c r="Y205" i="3"/>
  <c r="X205" i="3"/>
  <c r="T205" i="3"/>
  <c r="R205" i="3"/>
  <c r="S205" i="3" s="1"/>
  <c r="O206" i="3"/>
  <c r="Z206" i="3"/>
  <c r="AA206" i="3" s="1"/>
  <c r="R69" i="3"/>
  <c r="S69" i="3" s="1"/>
  <c r="Y69" i="3"/>
  <c r="T69" i="3"/>
  <c r="X69" i="3"/>
  <c r="E207" i="3"/>
  <c r="L207" i="3" s="1"/>
  <c r="M207" i="3"/>
  <c r="U68" i="3"/>
  <c r="V68" i="3"/>
  <c r="P70" i="3"/>
  <c r="O70" i="3"/>
  <c r="Z70" i="3"/>
  <c r="AA70" i="3" s="1"/>
  <c r="W69" i="3"/>
  <c r="Q69" i="3"/>
  <c r="P206" i="3"/>
  <c r="D209" i="3"/>
  <c r="G208" i="3"/>
  <c r="N208" i="3"/>
  <c r="F174" i="10" l="1"/>
  <c r="O207" i="3"/>
  <c r="Z207" i="3"/>
  <c r="AA207" i="3" s="1"/>
  <c r="U205" i="3"/>
  <c r="V205" i="3"/>
  <c r="E208" i="3"/>
  <c r="L208" i="3" s="1"/>
  <c r="M208" i="3"/>
  <c r="Y70" i="3"/>
  <c r="X70" i="3"/>
  <c r="T70" i="3"/>
  <c r="R70" i="3"/>
  <c r="S70" i="3" s="1"/>
  <c r="D210" i="3"/>
  <c r="G209" i="3"/>
  <c r="N209" i="3"/>
  <c r="V69" i="3"/>
  <c r="U69" i="3"/>
  <c r="Q206" i="3"/>
  <c r="W206" i="3"/>
  <c r="O71" i="3"/>
  <c r="Z71" i="3"/>
  <c r="AA71" i="3" s="1"/>
  <c r="P71" i="3"/>
  <c r="Y206" i="3"/>
  <c r="X206" i="3"/>
  <c r="T206" i="3"/>
  <c r="R206" i="3"/>
  <c r="S206" i="3" s="1"/>
  <c r="Q70" i="3"/>
  <c r="W70" i="3"/>
  <c r="P207" i="3"/>
  <c r="E73" i="3"/>
  <c r="L72" i="3"/>
  <c r="G72" i="3"/>
  <c r="F175" i="10" l="1"/>
  <c r="P208" i="3"/>
  <c r="X208" i="3" s="1"/>
  <c r="E209" i="3"/>
  <c r="L209" i="3" s="1"/>
  <c r="M209" i="3"/>
  <c r="Y207" i="3"/>
  <c r="X207" i="3"/>
  <c r="T207" i="3"/>
  <c r="R207" i="3"/>
  <c r="S207" i="3" s="1"/>
  <c r="U206" i="3"/>
  <c r="V206" i="3"/>
  <c r="N210" i="3"/>
  <c r="D211" i="3"/>
  <c r="G210" i="3"/>
  <c r="E74" i="3"/>
  <c r="L73" i="3"/>
  <c r="G73" i="3"/>
  <c r="R71" i="3"/>
  <c r="S71" i="3" s="1"/>
  <c r="Y71" i="3"/>
  <c r="X71" i="3"/>
  <c r="T71" i="3"/>
  <c r="W71" i="3"/>
  <c r="Q71" i="3"/>
  <c r="P72" i="3"/>
  <c r="O72" i="3"/>
  <c r="Z72" i="3"/>
  <c r="AA72" i="3" s="1"/>
  <c r="U70" i="3"/>
  <c r="V70" i="3"/>
  <c r="Z208" i="3"/>
  <c r="AA208" i="3" s="1"/>
  <c r="O208" i="3"/>
  <c r="Q207" i="3"/>
  <c r="W207" i="3"/>
  <c r="Y208" i="3" l="1"/>
  <c r="R208" i="3"/>
  <c r="S208" i="3" s="1"/>
  <c r="P209" i="3"/>
  <c r="X209" i="3" s="1"/>
  <c r="E75" i="3"/>
  <c r="L74" i="3"/>
  <c r="G74" i="3"/>
  <c r="Q208" i="3"/>
  <c r="W208" i="3"/>
  <c r="E210" i="3"/>
  <c r="L210" i="3" s="1"/>
  <c r="M210" i="3"/>
  <c r="Q72" i="3"/>
  <c r="W72" i="3"/>
  <c r="V71" i="3"/>
  <c r="U71" i="3"/>
  <c r="T208" i="3"/>
  <c r="G211" i="3"/>
  <c r="N211" i="3"/>
  <c r="D212" i="3"/>
  <c r="Y72" i="3"/>
  <c r="X72" i="3"/>
  <c r="T72" i="3"/>
  <c r="R72" i="3"/>
  <c r="S72" i="3" s="1"/>
  <c r="O73" i="3"/>
  <c r="Z73" i="3"/>
  <c r="AA73" i="3" s="1"/>
  <c r="P73" i="3"/>
  <c r="U207" i="3"/>
  <c r="V207" i="3"/>
  <c r="Z209" i="3"/>
  <c r="AA209" i="3" s="1"/>
  <c r="O209" i="3"/>
  <c r="Y209" i="3" l="1"/>
  <c r="R209" i="3"/>
  <c r="S209" i="3" s="1"/>
  <c r="W73" i="3"/>
  <c r="Q73" i="3"/>
  <c r="U208" i="3"/>
  <c r="V208" i="3"/>
  <c r="G212" i="3"/>
  <c r="N212" i="3"/>
  <c r="D213" i="3"/>
  <c r="P210" i="3"/>
  <c r="Q209" i="3"/>
  <c r="W209" i="3"/>
  <c r="R73" i="3"/>
  <c r="S73" i="3" s="1"/>
  <c r="Y73" i="3"/>
  <c r="X73" i="3"/>
  <c r="T73" i="3"/>
  <c r="U72" i="3"/>
  <c r="V72" i="3"/>
  <c r="T209" i="3"/>
  <c r="Z210" i="3"/>
  <c r="AA210" i="3" s="1"/>
  <c r="O210" i="3"/>
  <c r="P74" i="3"/>
  <c r="O74" i="3"/>
  <c r="Z74" i="3"/>
  <c r="AA74" i="3" s="1"/>
  <c r="E211" i="3"/>
  <c r="L211" i="3" s="1"/>
  <c r="M211" i="3"/>
  <c r="E76" i="3"/>
  <c r="L75" i="3"/>
  <c r="G75" i="3"/>
  <c r="P211" i="3" l="1"/>
  <c r="Y211" i="3" s="1"/>
  <c r="R210" i="3"/>
  <c r="S210" i="3" s="1"/>
  <c r="Y210" i="3"/>
  <c r="X210" i="3"/>
  <c r="T210" i="3"/>
  <c r="O211" i="3"/>
  <c r="Z211" i="3"/>
  <c r="AA211" i="3" s="1"/>
  <c r="W210" i="3"/>
  <c r="Q210" i="3"/>
  <c r="G213" i="3"/>
  <c r="N213" i="3"/>
  <c r="D214" i="3"/>
  <c r="O75" i="3"/>
  <c r="Z75" i="3"/>
  <c r="AA75" i="3" s="1"/>
  <c r="P75" i="3"/>
  <c r="V73" i="3"/>
  <c r="U73" i="3"/>
  <c r="Y74" i="3"/>
  <c r="X74" i="3"/>
  <c r="T74" i="3"/>
  <c r="R74" i="3"/>
  <c r="S74" i="3" s="1"/>
  <c r="E77" i="3"/>
  <c r="L76" i="3"/>
  <c r="G76" i="3"/>
  <c r="Q74" i="3"/>
  <c r="W74" i="3"/>
  <c r="U209" i="3"/>
  <c r="V209" i="3"/>
  <c r="E212" i="3"/>
  <c r="L212" i="3" s="1"/>
  <c r="M212" i="3"/>
  <c r="R211" i="3" l="1"/>
  <c r="S211" i="3" s="1"/>
  <c r="X211" i="3"/>
  <c r="T211" i="3"/>
  <c r="V211" i="3" s="1"/>
  <c r="P212" i="3"/>
  <c r="Y212" i="3" s="1"/>
  <c r="O212" i="3"/>
  <c r="Z212" i="3"/>
  <c r="AA212" i="3" s="1"/>
  <c r="V210" i="3"/>
  <c r="U210" i="3"/>
  <c r="U74" i="3"/>
  <c r="V74" i="3"/>
  <c r="G214" i="3"/>
  <c r="N214" i="3"/>
  <c r="D215" i="3"/>
  <c r="W75" i="3"/>
  <c r="Q75" i="3"/>
  <c r="P76" i="3"/>
  <c r="O76" i="3"/>
  <c r="Z76" i="3"/>
  <c r="AA76" i="3" s="1"/>
  <c r="R75" i="3"/>
  <c r="S75" i="3" s="1"/>
  <c r="Y75" i="3"/>
  <c r="X75" i="3"/>
  <c r="T75" i="3"/>
  <c r="U211" i="3"/>
  <c r="E78" i="3"/>
  <c r="L77" i="3"/>
  <c r="G77" i="3"/>
  <c r="E213" i="3"/>
  <c r="L213" i="3" s="1"/>
  <c r="M213" i="3"/>
  <c r="W211" i="3"/>
  <c r="Q211" i="3"/>
  <c r="X212" i="3" l="1"/>
  <c r="R212" i="3"/>
  <c r="S212" i="3" s="1"/>
  <c r="T212" i="3"/>
  <c r="U212" i="3" s="1"/>
  <c r="O213" i="3"/>
  <c r="Z213" i="3"/>
  <c r="AA213" i="3" s="1"/>
  <c r="Y76" i="3"/>
  <c r="X76" i="3"/>
  <c r="T76" i="3"/>
  <c r="R76" i="3"/>
  <c r="S76" i="3" s="1"/>
  <c r="E214" i="3"/>
  <c r="L214" i="3" s="1"/>
  <c r="M214" i="3"/>
  <c r="O77" i="3"/>
  <c r="Z77" i="3"/>
  <c r="AA77" i="3" s="1"/>
  <c r="P77" i="3"/>
  <c r="V75" i="3"/>
  <c r="U75" i="3"/>
  <c r="P213" i="3"/>
  <c r="E79" i="3"/>
  <c r="L78" i="3"/>
  <c r="G78" i="3"/>
  <c r="Q76" i="3"/>
  <c r="W76" i="3"/>
  <c r="G215" i="3"/>
  <c r="N215" i="3"/>
  <c r="D216" i="3"/>
  <c r="W212" i="3"/>
  <c r="Q212" i="3"/>
  <c r="V212" i="3" l="1"/>
  <c r="G216" i="3"/>
  <c r="N216" i="3"/>
  <c r="D217" i="3"/>
  <c r="P78" i="3"/>
  <c r="O78" i="3"/>
  <c r="Z78" i="3"/>
  <c r="AA78" i="3" s="1"/>
  <c r="P214" i="3"/>
  <c r="E80" i="3"/>
  <c r="L79" i="3"/>
  <c r="G79" i="3"/>
  <c r="R77" i="3"/>
  <c r="S77" i="3" s="1"/>
  <c r="Y77" i="3"/>
  <c r="T77" i="3"/>
  <c r="X77" i="3"/>
  <c r="O214" i="3"/>
  <c r="Z214" i="3"/>
  <c r="AA214" i="3" s="1"/>
  <c r="E215" i="3"/>
  <c r="L215" i="3" s="1"/>
  <c r="M215" i="3"/>
  <c r="R213" i="3"/>
  <c r="S213" i="3" s="1"/>
  <c r="Y213" i="3"/>
  <c r="T213" i="3"/>
  <c r="X213" i="3"/>
  <c r="W77" i="3"/>
  <c r="Q77" i="3"/>
  <c r="U76" i="3"/>
  <c r="V76" i="3"/>
  <c r="W213" i="3"/>
  <c r="Q213" i="3"/>
  <c r="P215" i="3" l="1"/>
  <c r="R215" i="3" s="1"/>
  <c r="S215" i="3" s="1"/>
  <c r="E81" i="3"/>
  <c r="L80" i="3"/>
  <c r="G80" i="3"/>
  <c r="Y78" i="3"/>
  <c r="X78" i="3"/>
  <c r="T78" i="3"/>
  <c r="R78" i="3"/>
  <c r="S78" i="3" s="1"/>
  <c r="W214" i="3"/>
  <c r="Q214" i="3"/>
  <c r="R214" i="3"/>
  <c r="S214" i="3" s="1"/>
  <c r="Y214" i="3"/>
  <c r="X214" i="3"/>
  <c r="T214" i="3"/>
  <c r="G217" i="3"/>
  <c r="N217" i="3"/>
  <c r="D218" i="3"/>
  <c r="V213" i="3"/>
  <c r="U213" i="3"/>
  <c r="O215" i="3"/>
  <c r="Z215" i="3"/>
  <c r="AA215" i="3" s="1"/>
  <c r="V77" i="3"/>
  <c r="U77" i="3"/>
  <c r="O79" i="3"/>
  <c r="Z79" i="3"/>
  <c r="AA79" i="3" s="1"/>
  <c r="P79" i="3"/>
  <c r="Q78" i="3"/>
  <c r="W78" i="3"/>
  <c r="E216" i="3"/>
  <c r="L216" i="3" s="1"/>
  <c r="M216" i="3"/>
  <c r="X215" i="3" l="1"/>
  <c r="Y215" i="3"/>
  <c r="E217" i="3"/>
  <c r="L217" i="3" s="1"/>
  <c r="M217" i="3"/>
  <c r="O216" i="3"/>
  <c r="Z216" i="3"/>
  <c r="AA216" i="3" s="1"/>
  <c r="G218" i="3"/>
  <c r="N218" i="3"/>
  <c r="D219" i="3"/>
  <c r="W79" i="3"/>
  <c r="Q79" i="3"/>
  <c r="W215" i="3"/>
  <c r="Q215" i="3"/>
  <c r="T215" i="3"/>
  <c r="U78" i="3"/>
  <c r="V78" i="3"/>
  <c r="P80" i="3"/>
  <c r="O80" i="3"/>
  <c r="Z80" i="3"/>
  <c r="AA80" i="3" s="1"/>
  <c r="P216" i="3"/>
  <c r="R79" i="3"/>
  <c r="S79" i="3" s="1"/>
  <c r="Y79" i="3"/>
  <c r="X79" i="3"/>
  <c r="T79" i="3"/>
  <c r="V214" i="3"/>
  <c r="U214" i="3"/>
  <c r="E82" i="3"/>
  <c r="L81" i="3"/>
  <c r="G81" i="3"/>
  <c r="V215" i="3" l="1"/>
  <c r="U215" i="3"/>
  <c r="Y80" i="3"/>
  <c r="X80" i="3"/>
  <c r="T80" i="3"/>
  <c r="R80" i="3"/>
  <c r="S80" i="3" s="1"/>
  <c r="G219" i="3"/>
  <c r="N219" i="3"/>
  <c r="D220" i="3"/>
  <c r="W216" i="3"/>
  <c r="Q216" i="3"/>
  <c r="O81" i="3"/>
  <c r="Z81" i="3"/>
  <c r="AA81" i="3" s="1"/>
  <c r="P81" i="3"/>
  <c r="V79" i="3"/>
  <c r="U79" i="3"/>
  <c r="R216" i="3"/>
  <c r="S216" i="3" s="1"/>
  <c r="Y216" i="3"/>
  <c r="X216" i="3"/>
  <c r="T216" i="3"/>
  <c r="P217" i="3"/>
  <c r="Q80" i="3"/>
  <c r="W80" i="3"/>
  <c r="E83" i="3"/>
  <c r="L82" i="3"/>
  <c r="G82" i="3"/>
  <c r="E218" i="3"/>
  <c r="L218" i="3" s="1"/>
  <c r="M218" i="3"/>
  <c r="O217" i="3"/>
  <c r="Z217" i="3"/>
  <c r="AA217" i="3" s="1"/>
  <c r="P218" i="3" l="1"/>
  <c r="X218" i="3" s="1"/>
  <c r="O218" i="3"/>
  <c r="Z218" i="3"/>
  <c r="AA218" i="3" s="1"/>
  <c r="E219" i="3"/>
  <c r="L219" i="3" s="1"/>
  <c r="M219" i="3"/>
  <c r="E84" i="3"/>
  <c r="L83" i="3"/>
  <c r="G83" i="3"/>
  <c r="R81" i="3"/>
  <c r="S81" i="3" s="1"/>
  <c r="Y81" i="3"/>
  <c r="X81" i="3"/>
  <c r="T81" i="3"/>
  <c r="R218" i="3"/>
  <c r="S218" i="3" s="1"/>
  <c r="V216" i="3"/>
  <c r="U216" i="3"/>
  <c r="W81" i="3"/>
  <c r="Q81" i="3"/>
  <c r="W217" i="3"/>
  <c r="Q217" i="3"/>
  <c r="P82" i="3"/>
  <c r="O82" i="3"/>
  <c r="Z82" i="3"/>
  <c r="AA82" i="3" s="1"/>
  <c r="R217" i="3"/>
  <c r="S217" i="3" s="1"/>
  <c r="Y217" i="3"/>
  <c r="T217" i="3"/>
  <c r="X217" i="3"/>
  <c r="G220" i="3"/>
  <c r="N220" i="3"/>
  <c r="D221" i="3"/>
  <c r="U80" i="3"/>
  <c r="V80" i="3"/>
  <c r="Y218" i="3" l="1"/>
  <c r="T218" i="3"/>
  <c r="V218" i="3" s="1"/>
  <c r="P219" i="3"/>
  <c r="R219" i="3" s="1"/>
  <c r="S219" i="3" s="1"/>
  <c r="G221" i="3"/>
  <c r="N221" i="3"/>
  <c r="D222" i="3"/>
  <c r="V217" i="3"/>
  <c r="U217" i="3"/>
  <c r="Q82" i="3"/>
  <c r="W82" i="3"/>
  <c r="V81" i="3"/>
  <c r="U81" i="3"/>
  <c r="O219" i="3"/>
  <c r="Z219" i="3"/>
  <c r="AA219" i="3" s="1"/>
  <c r="Y82" i="3"/>
  <c r="X82" i="3"/>
  <c r="T82" i="3"/>
  <c r="R82" i="3"/>
  <c r="S82" i="3" s="1"/>
  <c r="O83" i="3"/>
  <c r="Z83" i="3"/>
  <c r="AA83" i="3" s="1"/>
  <c r="P83" i="3"/>
  <c r="E220" i="3"/>
  <c r="L220" i="3" s="1"/>
  <c r="M220" i="3"/>
  <c r="E85" i="3"/>
  <c r="L84" i="3"/>
  <c r="G84" i="3"/>
  <c r="W218" i="3"/>
  <c r="Q218" i="3"/>
  <c r="U218" i="3" l="1"/>
  <c r="T219" i="3"/>
  <c r="V219" i="3" s="1"/>
  <c r="X219" i="3"/>
  <c r="Y219" i="3"/>
  <c r="P84" i="3"/>
  <c r="O84" i="3"/>
  <c r="Z84" i="3"/>
  <c r="AA84" i="3" s="1"/>
  <c r="E86" i="3"/>
  <c r="L85" i="3"/>
  <c r="G85" i="3"/>
  <c r="G222" i="3"/>
  <c r="N222" i="3"/>
  <c r="D223" i="3"/>
  <c r="R83" i="3"/>
  <c r="S83" i="3" s="1"/>
  <c r="Y83" i="3"/>
  <c r="X83" i="3"/>
  <c r="T83" i="3"/>
  <c r="W219" i="3"/>
  <c r="Q219" i="3"/>
  <c r="P220" i="3"/>
  <c r="W83" i="3"/>
  <c r="Q83" i="3"/>
  <c r="U82" i="3"/>
  <c r="V82" i="3"/>
  <c r="O220" i="3"/>
  <c r="Z220" i="3"/>
  <c r="AA220" i="3" s="1"/>
  <c r="E221" i="3"/>
  <c r="L221" i="3" s="1"/>
  <c r="M221" i="3"/>
  <c r="U219" i="3" l="1"/>
  <c r="W220" i="3"/>
  <c r="Q220" i="3"/>
  <c r="V83" i="3"/>
  <c r="U83" i="3"/>
  <c r="G223" i="3"/>
  <c r="N223" i="3"/>
  <c r="D224" i="3"/>
  <c r="O85" i="3"/>
  <c r="Z85" i="3"/>
  <c r="AA85" i="3" s="1"/>
  <c r="P85" i="3"/>
  <c r="Y84" i="3"/>
  <c r="X84" i="3"/>
  <c r="T84" i="3"/>
  <c r="R84" i="3"/>
  <c r="S84" i="3" s="1"/>
  <c r="P221" i="3"/>
  <c r="R220" i="3"/>
  <c r="S220" i="3" s="1"/>
  <c r="Y220" i="3"/>
  <c r="X220" i="3"/>
  <c r="T220" i="3"/>
  <c r="E87" i="3"/>
  <c r="L86" i="3"/>
  <c r="G86" i="3"/>
  <c r="Q84" i="3"/>
  <c r="W84" i="3"/>
  <c r="O221" i="3"/>
  <c r="Z221" i="3"/>
  <c r="AA221" i="3" s="1"/>
  <c r="E222" i="3"/>
  <c r="L222" i="3" s="1"/>
  <c r="M222" i="3"/>
  <c r="P222" i="3" l="1"/>
  <c r="X222" i="3" s="1"/>
  <c r="E88" i="3"/>
  <c r="L87" i="3"/>
  <c r="G87" i="3"/>
  <c r="O222" i="3"/>
  <c r="Z222" i="3"/>
  <c r="AA222" i="3" s="1"/>
  <c r="V220" i="3"/>
  <c r="U220" i="3"/>
  <c r="R221" i="3"/>
  <c r="S221" i="3" s="1"/>
  <c r="Y221" i="3"/>
  <c r="T221" i="3"/>
  <c r="X221" i="3"/>
  <c r="G224" i="3"/>
  <c r="N224" i="3"/>
  <c r="D225" i="3"/>
  <c r="W85" i="3"/>
  <c r="Q85" i="3"/>
  <c r="R85" i="3"/>
  <c r="S85" i="3" s="1"/>
  <c r="Y85" i="3"/>
  <c r="T85" i="3"/>
  <c r="X85" i="3"/>
  <c r="W221" i="3"/>
  <c r="Q221" i="3"/>
  <c r="P86" i="3"/>
  <c r="O86" i="3"/>
  <c r="Z86" i="3"/>
  <c r="AA86" i="3" s="1"/>
  <c r="U84" i="3"/>
  <c r="V84" i="3"/>
  <c r="E223" i="3"/>
  <c r="L223" i="3" s="1"/>
  <c r="M223" i="3"/>
  <c r="Y222" i="3" l="1"/>
  <c r="R222" i="3"/>
  <c r="S222" i="3" s="1"/>
  <c r="O223" i="3"/>
  <c r="Z223" i="3"/>
  <c r="AA223" i="3" s="1"/>
  <c r="Q86" i="3"/>
  <c r="W86" i="3"/>
  <c r="W222" i="3"/>
  <c r="Q222" i="3"/>
  <c r="Y86" i="3"/>
  <c r="X86" i="3"/>
  <c r="T86" i="3"/>
  <c r="R86" i="3"/>
  <c r="S86" i="3" s="1"/>
  <c r="V85" i="3"/>
  <c r="U85" i="3"/>
  <c r="T222" i="3"/>
  <c r="G225" i="3"/>
  <c r="N225" i="3"/>
  <c r="D226" i="3"/>
  <c r="V221" i="3"/>
  <c r="U221" i="3"/>
  <c r="O87" i="3"/>
  <c r="Z87" i="3"/>
  <c r="AA87" i="3" s="1"/>
  <c r="P87" i="3"/>
  <c r="E224" i="3"/>
  <c r="L224" i="3" s="1"/>
  <c r="M224" i="3"/>
  <c r="P223" i="3"/>
  <c r="E89" i="3"/>
  <c r="L88" i="3"/>
  <c r="G88" i="3"/>
  <c r="R223" i="3" l="1"/>
  <c r="S223" i="3" s="1"/>
  <c r="Y223" i="3"/>
  <c r="T223" i="3"/>
  <c r="X223" i="3"/>
  <c r="G226" i="3"/>
  <c r="N226" i="3"/>
  <c r="D227" i="3"/>
  <c r="P224" i="3"/>
  <c r="W87" i="3"/>
  <c r="Q87" i="3"/>
  <c r="O224" i="3"/>
  <c r="Z224" i="3"/>
  <c r="AA224" i="3" s="1"/>
  <c r="E225" i="3"/>
  <c r="L225" i="3" s="1"/>
  <c r="M225" i="3"/>
  <c r="O88" i="3"/>
  <c r="Z88" i="3"/>
  <c r="AA88" i="3" s="1"/>
  <c r="P88" i="3"/>
  <c r="E90" i="3"/>
  <c r="L89" i="3"/>
  <c r="G89" i="3"/>
  <c r="Y87" i="3"/>
  <c r="R87" i="3"/>
  <c r="S87" i="3" s="1"/>
  <c r="X87" i="3"/>
  <c r="T87" i="3"/>
  <c r="V222" i="3"/>
  <c r="U222" i="3"/>
  <c r="U86" i="3"/>
  <c r="V86" i="3"/>
  <c r="W223" i="3"/>
  <c r="Q223" i="3"/>
  <c r="R224" i="3" l="1"/>
  <c r="S224" i="3" s="1"/>
  <c r="Y224" i="3"/>
  <c r="X224" i="3"/>
  <c r="T224" i="3"/>
  <c r="O89" i="3"/>
  <c r="P89" i="3"/>
  <c r="Z89" i="3"/>
  <c r="AA89" i="3" s="1"/>
  <c r="W88" i="3"/>
  <c r="Q88" i="3"/>
  <c r="W224" i="3"/>
  <c r="Q224" i="3"/>
  <c r="G227" i="3"/>
  <c r="N227" i="3"/>
  <c r="D228" i="3"/>
  <c r="V223" i="3"/>
  <c r="U223" i="3"/>
  <c r="V87" i="3"/>
  <c r="U87" i="3"/>
  <c r="E91" i="3"/>
  <c r="L90" i="3"/>
  <c r="G90" i="3"/>
  <c r="P225" i="3"/>
  <c r="Y88" i="3"/>
  <c r="T88" i="3"/>
  <c r="X88" i="3"/>
  <c r="R88" i="3"/>
  <c r="S88" i="3" s="1"/>
  <c r="O225" i="3"/>
  <c r="Z225" i="3"/>
  <c r="AA225" i="3" s="1"/>
  <c r="E226" i="3"/>
  <c r="L226" i="3" s="1"/>
  <c r="M226" i="3"/>
  <c r="U88" i="3" l="1"/>
  <c r="V88" i="3"/>
  <c r="E227" i="3"/>
  <c r="L227" i="3" s="1"/>
  <c r="M227" i="3"/>
  <c r="V224" i="3"/>
  <c r="U224" i="3"/>
  <c r="W225" i="3"/>
  <c r="Q225" i="3"/>
  <c r="E92" i="3"/>
  <c r="L91" i="3"/>
  <c r="G91" i="3"/>
  <c r="O90" i="3"/>
  <c r="Z90" i="3"/>
  <c r="AA90" i="3" s="1"/>
  <c r="P90" i="3"/>
  <c r="P226" i="3"/>
  <c r="R225" i="3"/>
  <c r="S225" i="3" s="1"/>
  <c r="Y225" i="3"/>
  <c r="T225" i="3"/>
  <c r="X225" i="3"/>
  <c r="G228" i="3"/>
  <c r="N228" i="3"/>
  <c r="D229" i="3"/>
  <c r="Y89" i="3"/>
  <c r="X89" i="3"/>
  <c r="T89" i="3"/>
  <c r="R89" i="3"/>
  <c r="S89" i="3" s="1"/>
  <c r="O226" i="3"/>
  <c r="Z226" i="3"/>
  <c r="AA226" i="3" s="1"/>
  <c r="Q89" i="3"/>
  <c r="W89" i="3"/>
  <c r="P227" i="3" l="1"/>
  <c r="R227" i="3" s="1"/>
  <c r="S227" i="3" s="1"/>
  <c r="W226" i="3"/>
  <c r="Q226" i="3"/>
  <c r="R226" i="3"/>
  <c r="S226" i="3" s="1"/>
  <c r="Y226" i="3"/>
  <c r="X226" i="3"/>
  <c r="T226" i="3"/>
  <c r="O227" i="3"/>
  <c r="Z227" i="3"/>
  <c r="AA227" i="3" s="1"/>
  <c r="D230" i="3"/>
  <c r="G229" i="3"/>
  <c r="N229" i="3"/>
  <c r="V225" i="3"/>
  <c r="U225" i="3"/>
  <c r="Y90" i="3"/>
  <c r="T90" i="3"/>
  <c r="R90" i="3"/>
  <c r="S90" i="3" s="1"/>
  <c r="X90" i="3"/>
  <c r="O91" i="3"/>
  <c r="Z91" i="3"/>
  <c r="AA91" i="3" s="1"/>
  <c r="P91" i="3"/>
  <c r="E228" i="3"/>
  <c r="L228" i="3" s="1"/>
  <c r="M228" i="3"/>
  <c r="W90" i="3"/>
  <c r="Q90" i="3"/>
  <c r="U89" i="3"/>
  <c r="V89" i="3"/>
  <c r="E93" i="3"/>
  <c r="L92" i="3"/>
  <c r="G92" i="3"/>
  <c r="T227" i="3" l="1"/>
  <c r="U227" i="3" s="1"/>
  <c r="Y227" i="3"/>
  <c r="X227" i="3"/>
  <c r="P228" i="3"/>
  <c r="R228" i="3" s="1"/>
  <c r="S228" i="3" s="1"/>
  <c r="O92" i="3"/>
  <c r="Z92" i="3"/>
  <c r="AA92" i="3" s="1"/>
  <c r="P92" i="3"/>
  <c r="Y91" i="3"/>
  <c r="T91" i="3"/>
  <c r="R91" i="3"/>
  <c r="S91" i="3" s="1"/>
  <c r="X91" i="3"/>
  <c r="E94" i="3"/>
  <c r="L93" i="3"/>
  <c r="G93" i="3"/>
  <c r="U90" i="3"/>
  <c r="V90" i="3"/>
  <c r="W227" i="3"/>
  <c r="Q227" i="3"/>
  <c r="Q91" i="3"/>
  <c r="W91" i="3"/>
  <c r="E229" i="3"/>
  <c r="L229" i="3" s="1"/>
  <c r="M229" i="3"/>
  <c r="V226" i="3"/>
  <c r="U226" i="3"/>
  <c r="O228" i="3"/>
  <c r="Z228" i="3"/>
  <c r="AA228" i="3" s="1"/>
  <c r="N230" i="3"/>
  <c r="D231" i="3"/>
  <c r="G230" i="3"/>
  <c r="V227" i="3" l="1"/>
  <c r="X228" i="3"/>
  <c r="T228" i="3"/>
  <c r="U228" i="3" s="1"/>
  <c r="Y228" i="3"/>
  <c r="P229" i="3"/>
  <c r="R229" i="3" s="1"/>
  <c r="S229" i="3" s="1"/>
  <c r="Z229" i="3"/>
  <c r="AA229" i="3" s="1"/>
  <c r="O229" i="3"/>
  <c r="Y92" i="3"/>
  <c r="R92" i="3"/>
  <c r="S92" i="3" s="1"/>
  <c r="X92" i="3"/>
  <c r="T92" i="3"/>
  <c r="W228" i="3"/>
  <c r="Q228" i="3"/>
  <c r="N231" i="3"/>
  <c r="D232" i="3"/>
  <c r="G231" i="3"/>
  <c r="E95" i="3"/>
  <c r="L94" i="3"/>
  <c r="G94" i="3"/>
  <c r="E230" i="3"/>
  <c r="L230" i="3" s="1"/>
  <c r="M230" i="3"/>
  <c r="O93" i="3"/>
  <c r="P93" i="3"/>
  <c r="Z93" i="3"/>
  <c r="AA93" i="3" s="1"/>
  <c r="U91" i="3"/>
  <c r="V91" i="3"/>
  <c r="W92" i="3"/>
  <c r="Q92" i="3"/>
  <c r="V228" i="3" l="1"/>
  <c r="X229" i="3"/>
  <c r="Y229" i="3"/>
  <c r="T229" i="3"/>
  <c r="V229" i="3" s="1"/>
  <c r="Y93" i="3"/>
  <c r="X93" i="3"/>
  <c r="T93" i="3"/>
  <c r="R93" i="3"/>
  <c r="S93" i="3" s="1"/>
  <c r="Q93" i="3"/>
  <c r="W93" i="3"/>
  <c r="O94" i="3"/>
  <c r="Z94" i="3"/>
  <c r="AA94" i="3" s="1"/>
  <c r="P94" i="3"/>
  <c r="E231" i="3"/>
  <c r="L231" i="3" s="1"/>
  <c r="M231" i="3"/>
  <c r="P230" i="3"/>
  <c r="E96" i="3"/>
  <c r="L95" i="3"/>
  <c r="G95" i="3"/>
  <c r="N232" i="3"/>
  <c r="D233" i="3"/>
  <c r="G232" i="3"/>
  <c r="U92" i="3"/>
  <c r="V92" i="3"/>
  <c r="Q229" i="3"/>
  <c r="W229" i="3"/>
  <c r="Z230" i="3"/>
  <c r="AA230" i="3" s="1"/>
  <c r="O230" i="3"/>
  <c r="U229" i="3" l="1"/>
  <c r="Z231" i="3"/>
  <c r="AA231" i="3" s="1"/>
  <c r="O231" i="3"/>
  <c r="N233" i="3"/>
  <c r="D234" i="3"/>
  <c r="G233" i="3"/>
  <c r="E97" i="3"/>
  <c r="L96" i="3"/>
  <c r="G96" i="3"/>
  <c r="Y94" i="3"/>
  <c r="T94" i="3"/>
  <c r="R94" i="3"/>
  <c r="S94" i="3" s="1"/>
  <c r="X94" i="3"/>
  <c r="U93" i="3"/>
  <c r="V93" i="3"/>
  <c r="R230" i="3"/>
  <c r="S230" i="3" s="1"/>
  <c r="Y230" i="3"/>
  <c r="X230" i="3"/>
  <c r="T230" i="3"/>
  <c r="E232" i="3"/>
  <c r="L232" i="3" s="1"/>
  <c r="M232" i="3"/>
  <c r="O95" i="3"/>
  <c r="Z95" i="3"/>
  <c r="AA95" i="3" s="1"/>
  <c r="P95" i="3"/>
  <c r="Q230" i="3"/>
  <c r="W230" i="3"/>
  <c r="P231" i="3"/>
  <c r="W94" i="3"/>
  <c r="Q94" i="3"/>
  <c r="P232" i="3" l="1"/>
  <c r="X232" i="3" s="1"/>
  <c r="Z232" i="3"/>
  <c r="AA232" i="3" s="1"/>
  <c r="O232" i="3"/>
  <c r="O96" i="3"/>
  <c r="Z96" i="3"/>
  <c r="AA96" i="3" s="1"/>
  <c r="P96" i="3"/>
  <c r="Y95" i="3"/>
  <c r="T95" i="3"/>
  <c r="R95" i="3"/>
  <c r="S95" i="3" s="1"/>
  <c r="X95" i="3"/>
  <c r="R231" i="3"/>
  <c r="S231" i="3" s="1"/>
  <c r="Y231" i="3"/>
  <c r="X231" i="3"/>
  <c r="T231" i="3"/>
  <c r="V230" i="3"/>
  <c r="U230" i="3"/>
  <c r="U94" i="3"/>
  <c r="V94" i="3"/>
  <c r="E98" i="3"/>
  <c r="L97" i="3"/>
  <c r="G97" i="3"/>
  <c r="Q231" i="3"/>
  <c r="W231" i="3"/>
  <c r="N234" i="3"/>
  <c r="D235" i="3"/>
  <c r="G234" i="3"/>
  <c r="Q95" i="3"/>
  <c r="W95" i="3"/>
  <c r="E233" i="3"/>
  <c r="L233" i="3" s="1"/>
  <c r="M233" i="3"/>
  <c r="Y232" i="3" l="1"/>
  <c r="R232" i="3"/>
  <c r="S232" i="3" s="1"/>
  <c r="T232" i="3"/>
  <c r="U232" i="3" s="1"/>
  <c r="P97" i="3"/>
  <c r="O97" i="3"/>
  <c r="Z97" i="3"/>
  <c r="AA97" i="3" s="1"/>
  <c r="U95" i="3"/>
  <c r="V95" i="3"/>
  <c r="W96" i="3"/>
  <c r="Q96" i="3"/>
  <c r="Z233" i="3"/>
  <c r="AA233" i="3" s="1"/>
  <c r="O233" i="3"/>
  <c r="E99" i="3"/>
  <c r="L98" i="3"/>
  <c r="G98" i="3"/>
  <c r="Q232" i="3"/>
  <c r="W232" i="3"/>
  <c r="N235" i="3"/>
  <c r="D236" i="3"/>
  <c r="G235" i="3"/>
  <c r="P233" i="3"/>
  <c r="E234" i="3"/>
  <c r="L234" i="3" s="1"/>
  <c r="M234" i="3"/>
  <c r="V231" i="3"/>
  <c r="U231" i="3"/>
  <c r="Y96" i="3"/>
  <c r="R96" i="3"/>
  <c r="S96" i="3" s="1"/>
  <c r="X96" i="3"/>
  <c r="T96" i="3"/>
  <c r="V232" i="3" l="1"/>
  <c r="P234" i="3"/>
  <c r="Y234" i="3" s="1"/>
  <c r="R233" i="3"/>
  <c r="S233" i="3" s="1"/>
  <c r="Y233" i="3"/>
  <c r="X233" i="3"/>
  <c r="T233" i="3"/>
  <c r="V96" i="3"/>
  <c r="U96" i="3"/>
  <c r="E100" i="3"/>
  <c r="L99" i="3"/>
  <c r="G99" i="3"/>
  <c r="E235" i="3"/>
  <c r="L235" i="3" s="1"/>
  <c r="M235" i="3"/>
  <c r="D237" i="3"/>
  <c r="N236" i="3"/>
  <c r="G236" i="3"/>
  <c r="Q97" i="3"/>
  <c r="W97" i="3"/>
  <c r="Z234" i="3"/>
  <c r="AA234" i="3" s="1"/>
  <c r="O234" i="3"/>
  <c r="O98" i="3"/>
  <c r="Z98" i="3"/>
  <c r="AA98" i="3" s="1"/>
  <c r="P98" i="3"/>
  <c r="Q233" i="3"/>
  <c r="W233" i="3"/>
  <c r="Y97" i="3"/>
  <c r="X97" i="3"/>
  <c r="T97" i="3"/>
  <c r="R97" i="3"/>
  <c r="S97" i="3" s="1"/>
  <c r="R234" i="3" l="1"/>
  <c r="S234" i="3" s="1"/>
  <c r="T234" i="3"/>
  <c r="V234" i="3" s="1"/>
  <c r="X234" i="3"/>
  <c r="P235" i="3"/>
  <c r="R235" i="3" s="1"/>
  <c r="S235" i="3" s="1"/>
  <c r="W98" i="3"/>
  <c r="Q98" i="3"/>
  <c r="E101" i="3"/>
  <c r="L100" i="3"/>
  <c r="G100" i="3"/>
  <c r="P99" i="3"/>
  <c r="O99" i="3"/>
  <c r="Z99" i="3"/>
  <c r="AA99" i="3" s="1"/>
  <c r="V233" i="3"/>
  <c r="U233" i="3"/>
  <c r="U97" i="3"/>
  <c r="V97" i="3"/>
  <c r="Q234" i="3"/>
  <c r="W234" i="3"/>
  <c r="E236" i="3"/>
  <c r="L236" i="3" s="1"/>
  <c r="M236" i="3"/>
  <c r="Z235" i="3"/>
  <c r="AA235" i="3" s="1"/>
  <c r="O235" i="3"/>
  <c r="D238" i="3"/>
  <c r="N237" i="3"/>
  <c r="G237" i="3"/>
  <c r="R98" i="3"/>
  <c r="S98" i="3" s="1"/>
  <c r="Y98" i="3"/>
  <c r="X98" i="3"/>
  <c r="T98" i="3"/>
  <c r="T235" i="3" l="1"/>
  <c r="V235" i="3" s="1"/>
  <c r="U234" i="3"/>
  <c r="X235" i="3"/>
  <c r="Y235" i="3"/>
  <c r="P236" i="3"/>
  <c r="X236" i="3" s="1"/>
  <c r="Y99" i="3"/>
  <c r="X99" i="3"/>
  <c r="T99" i="3"/>
  <c r="R99" i="3"/>
  <c r="S99" i="3" s="1"/>
  <c r="E237" i="3"/>
  <c r="L237" i="3" s="1"/>
  <c r="M237" i="3"/>
  <c r="Q235" i="3"/>
  <c r="W235" i="3"/>
  <c r="V98" i="3"/>
  <c r="U98" i="3"/>
  <c r="O100" i="3"/>
  <c r="Z100" i="3"/>
  <c r="AA100" i="3" s="1"/>
  <c r="P100" i="3"/>
  <c r="D239" i="3"/>
  <c r="G238" i="3"/>
  <c r="N238" i="3"/>
  <c r="Z236" i="3"/>
  <c r="AA236" i="3" s="1"/>
  <c r="O236" i="3"/>
  <c r="Q99" i="3"/>
  <c r="W99" i="3"/>
  <c r="E102" i="3"/>
  <c r="L101" i="3"/>
  <c r="G101" i="3"/>
  <c r="U235" i="3" l="1"/>
  <c r="Y236" i="3"/>
  <c r="R236" i="3"/>
  <c r="S236" i="3" s="1"/>
  <c r="P101" i="3"/>
  <c r="O101" i="3"/>
  <c r="Z101" i="3"/>
  <c r="AA101" i="3" s="1"/>
  <c r="W236" i="3"/>
  <c r="Q236" i="3"/>
  <c r="D240" i="3"/>
  <c r="N239" i="3"/>
  <c r="G239" i="3"/>
  <c r="P237" i="3"/>
  <c r="E103" i="3"/>
  <c r="L102" i="3"/>
  <c r="G102" i="3"/>
  <c r="R100" i="3"/>
  <c r="S100" i="3" s="1"/>
  <c r="Y100" i="3"/>
  <c r="X100" i="3"/>
  <c r="T100" i="3"/>
  <c r="Z237" i="3"/>
  <c r="AA237" i="3" s="1"/>
  <c r="O237" i="3"/>
  <c r="T236" i="3"/>
  <c r="E238" i="3"/>
  <c r="L238" i="3" s="1"/>
  <c r="M238" i="3"/>
  <c r="W100" i="3"/>
  <c r="Q100" i="3"/>
  <c r="U99" i="3"/>
  <c r="V99" i="3"/>
  <c r="O238" i="3" l="1"/>
  <c r="Z238" i="3"/>
  <c r="AA238" i="3" s="1"/>
  <c r="V100" i="3"/>
  <c r="U100" i="3"/>
  <c r="E239" i="3"/>
  <c r="L239" i="3" s="1"/>
  <c r="M239" i="3"/>
  <c r="V236" i="3"/>
  <c r="U236" i="3"/>
  <c r="O102" i="3"/>
  <c r="Z102" i="3"/>
  <c r="AA102" i="3" s="1"/>
  <c r="P102" i="3"/>
  <c r="Q237" i="3"/>
  <c r="W237" i="3"/>
  <c r="E104" i="3"/>
  <c r="L103" i="3"/>
  <c r="G103" i="3"/>
  <c r="D241" i="3"/>
  <c r="G240" i="3"/>
  <c r="N240" i="3"/>
  <c r="Q101" i="3"/>
  <c r="W101" i="3"/>
  <c r="P238" i="3"/>
  <c r="X237" i="3"/>
  <c r="T237" i="3"/>
  <c r="Y237" i="3"/>
  <c r="R237" i="3"/>
  <c r="S237" i="3" s="1"/>
  <c r="Y101" i="3"/>
  <c r="X101" i="3"/>
  <c r="T101" i="3"/>
  <c r="R101" i="3"/>
  <c r="S101" i="3" s="1"/>
  <c r="P239" i="3" l="1"/>
  <c r="R239" i="3" s="1"/>
  <c r="S239" i="3" s="1"/>
  <c r="U237" i="3"/>
  <c r="V237" i="3"/>
  <c r="P103" i="3"/>
  <c r="O103" i="3"/>
  <c r="Z103" i="3"/>
  <c r="AA103" i="3" s="1"/>
  <c r="R102" i="3"/>
  <c r="S102" i="3" s="1"/>
  <c r="Y102" i="3"/>
  <c r="T102" i="3"/>
  <c r="X102" i="3"/>
  <c r="Y238" i="3"/>
  <c r="X238" i="3"/>
  <c r="T238" i="3"/>
  <c r="R238" i="3"/>
  <c r="S238" i="3" s="1"/>
  <c r="E240" i="3"/>
  <c r="L240" i="3" s="1"/>
  <c r="M240" i="3"/>
  <c r="E105" i="3"/>
  <c r="L104" i="3"/>
  <c r="G104" i="3"/>
  <c r="U101" i="3"/>
  <c r="V101" i="3"/>
  <c r="D242" i="3"/>
  <c r="G241" i="3"/>
  <c r="N241" i="3"/>
  <c r="W102" i="3"/>
  <c r="Q102" i="3"/>
  <c r="Z239" i="3"/>
  <c r="AA239" i="3" s="1"/>
  <c r="O239" i="3"/>
  <c r="W238" i="3"/>
  <c r="Q238" i="3"/>
  <c r="X239" i="3" l="1"/>
  <c r="Y239" i="3"/>
  <c r="P240" i="3"/>
  <c r="X240" i="3" s="1"/>
  <c r="E106" i="3"/>
  <c r="L105" i="3"/>
  <c r="G105" i="3"/>
  <c r="U238" i="3"/>
  <c r="V238" i="3"/>
  <c r="V102" i="3"/>
  <c r="U102" i="3"/>
  <c r="Q103" i="3"/>
  <c r="W103" i="3"/>
  <c r="Q239" i="3"/>
  <c r="W239" i="3"/>
  <c r="Y103" i="3"/>
  <c r="X103" i="3"/>
  <c r="T103" i="3"/>
  <c r="R103" i="3"/>
  <c r="S103" i="3" s="1"/>
  <c r="E241" i="3"/>
  <c r="L241" i="3" s="1"/>
  <c r="M241" i="3"/>
  <c r="Z240" i="3"/>
  <c r="AA240" i="3" s="1"/>
  <c r="O240" i="3"/>
  <c r="D243" i="3"/>
  <c r="G242" i="3"/>
  <c r="N242" i="3"/>
  <c r="T239" i="3"/>
  <c r="O104" i="3"/>
  <c r="Z104" i="3"/>
  <c r="AA104" i="3" s="1"/>
  <c r="P104" i="3"/>
  <c r="Y240" i="3" l="1"/>
  <c r="R240" i="3"/>
  <c r="S240" i="3" s="1"/>
  <c r="W104" i="3"/>
  <c r="Q104" i="3"/>
  <c r="D244" i="3"/>
  <c r="N243" i="3"/>
  <c r="G243" i="3"/>
  <c r="Z241" i="3"/>
  <c r="AA241" i="3" s="1"/>
  <c r="O241" i="3"/>
  <c r="U239" i="3"/>
  <c r="V239" i="3"/>
  <c r="Q240" i="3"/>
  <c r="W240" i="3"/>
  <c r="U103" i="3"/>
  <c r="V103" i="3"/>
  <c r="T240" i="3"/>
  <c r="P105" i="3"/>
  <c r="O105" i="3"/>
  <c r="Z105" i="3"/>
  <c r="AA105" i="3" s="1"/>
  <c r="R104" i="3"/>
  <c r="S104" i="3" s="1"/>
  <c r="Y104" i="3"/>
  <c r="X104" i="3"/>
  <c r="T104" i="3"/>
  <c r="E242" i="3"/>
  <c r="L242" i="3" s="1"/>
  <c r="M242" i="3"/>
  <c r="P241" i="3"/>
  <c r="E107" i="3"/>
  <c r="L106" i="3"/>
  <c r="G106" i="3"/>
  <c r="Q105" i="3" l="1"/>
  <c r="W105" i="3"/>
  <c r="P242" i="3"/>
  <c r="Y105" i="3"/>
  <c r="X105" i="3"/>
  <c r="T105" i="3"/>
  <c r="R105" i="3"/>
  <c r="S105" i="3" s="1"/>
  <c r="Q241" i="3"/>
  <c r="W241" i="3"/>
  <c r="D245" i="3"/>
  <c r="G244" i="3"/>
  <c r="N244" i="3"/>
  <c r="O106" i="3"/>
  <c r="Z106" i="3"/>
  <c r="AA106" i="3" s="1"/>
  <c r="P106" i="3"/>
  <c r="O242" i="3"/>
  <c r="Z242" i="3"/>
  <c r="AA242" i="3" s="1"/>
  <c r="U240" i="3"/>
  <c r="V240" i="3"/>
  <c r="Y241" i="3"/>
  <c r="X241" i="3"/>
  <c r="T241" i="3"/>
  <c r="R241" i="3"/>
  <c r="S241" i="3" s="1"/>
  <c r="E108" i="3"/>
  <c r="L107" i="3"/>
  <c r="G107" i="3"/>
  <c r="V104" i="3"/>
  <c r="U104" i="3"/>
  <c r="E243" i="3"/>
  <c r="L243" i="3" s="1"/>
  <c r="M243" i="3"/>
  <c r="P243" i="3" l="1"/>
  <c r="X243" i="3" s="1"/>
  <c r="Q242" i="3"/>
  <c r="W242" i="3"/>
  <c r="R106" i="3"/>
  <c r="S106" i="3" s="1"/>
  <c r="Y106" i="3"/>
  <c r="X106" i="3"/>
  <c r="T106" i="3"/>
  <c r="E244" i="3"/>
  <c r="L244" i="3" s="1"/>
  <c r="M244" i="3"/>
  <c r="Y242" i="3"/>
  <c r="X242" i="3"/>
  <c r="T242" i="3"/>
  <c r="R242" i="3"/>
  <c r="S242" i="3" s="1"/>
  <c r="E109" i="3"/>
  <c r="L108" i="3"/>
  <c r="G108" i="3"/>
  <c r="U241" i="3"/>
  <c r="V241" i="3"/>
  <c r="D246" i="3"/>
  <c r="G245" i="3"/>
  <c r="N245" i="3"/>
  <c r="U105" i="3"/>
  <c r="V105" i="3"/>
  <c r="Z243" i="3"/>
  <c r="AA243" i="3" s="1"/>
  <c r="O243" i="3"/>
  <c r="P107" i="3"/>
  <c r="O107" i="3"/>
  <c r="Z107" i="3"/>
  <c r="AA107" i="3" s="1"/>
  <c r="W106" i="3"/>
  <c r="Q106" i="3"/>
  <c r="Y243" i="3" l="1"/>
  <c r="T243" i="3"/>
  <c r="U243" i="3" s="1"/>
  <c r="R243" i="3"/>
  <c r="S243" i="3" s="1"/>
  <c r="P244" i="3"/>
  <c r="R244" i="3" s="1"/>
  <c r="S244" i="3" s="1"/>
  <c r="E245" i="3"/>
  <c r="L245" i="3" s="1"/>
  <c r="M245" i="3"/>
  <c r="U242" i="3"/>
  <c r="V242" i="3"/>
  <c r="Z244" i="3"/>
  <c r="AA244" i="3" s="1"/>
  <c r="O244" i="3"/>
  <c r="Q107" i="3"/>
  <c r="W107" i="3"/>
  <c r="D247" i="3"/>
  <c r="G246" i="3"/>
  <c r="N246" i="3"/>
  <c r="O108" i="3"/>
  <c r="Z108" i="3"/>
  <c r="AA108" i="3" s="1"/>
  <c r="P108" i="3"/>
  <c r="V106" i="3"/>
  <c r="U106" i="3"/>
  <c r="Q243" i="3"/>
  <c r="W243" i="3"/>
  <c r="Y107" i="3"/>
  <c r="X107" i="3"/>
  <c r="T107" i="3"/>
  <c r="R107" i="3"/>
  <c r="S107" i="3" s="1"/>
  <c r="E110" i="3"/>
  <c r="L109" i="3"/>
  <c r="G109" i="3"/>
  <c r="V243" i="3" l="1"/>
  <c r="X244" i="3"/>
  <c r="Y244" i="3"/>
  <c r="P245" i="3"/>
  <c r="Y245" i="3" s="1"/>
  <c r="E246" i="3"/>
  <c r="L246" i="3" s="1"/>
  <c r="M246" i="3"/>
  <c r="Q244" i="3"/>
  <c r="W244" i="3"/>
  <c r="P109" i="3"/>
  <c r="O109" i="3"/>
  <c r="Z109" i="3"/>
  <c r="AA109" i="3" s="1"/>
  <c r="W108" i="3"/>
  <c r="Q108" i="3"/>
  <c r="R108" i="3"/>
  <c r="S108" i="3" s="1"/>
  <c r="Y108" i="3"/>
  <c r="X108" i="3"/>
  <c r="T108" i="3"/>
  <c r="U107" i="3"/>
  <c r="V107" i="3"/>
  <c r="D248" i="3"/>
  <c r="N247" i="3"/>
  <c r="G247" i="3"/>
  <c r="Z245" i="3"/>
  <c r="AA245" i="3" s="1"/>
  <c r="O245" i="3"/>
  <c r="E111" i="3"/>
  <c r="L110" i="3"/>
  <c r="G110" i="3"/>
  <c r="T244" i="3"/>
  <c r="X245" i="3" l="1"/>
  <c r="R245" i="3"/>
  <c r="S245" i="3" s="1"/>
  <c r="P246" i="3"/>
  <c r="X246" i="3" s="1"/>
  <c r="U244" i="3"/>
  <c r="V244" i="3"/>
  <c r="Q245" i="3"/>
  <c r="W245" i="3"/>
  <c r="D249" i="3"/>
  <c r="G248" i="3"/>
  <c r="N248" i="3"/>
  <c r="T245" i="3"/>
  <c r="O110" i="3"/>
  <c r="Z110" i="3"/>
  <c r="AA110" i="3" s="1"/>
  <c r="P110" i="3"/>
  <c r="E247" i="3"/>
  <c r="L247" i="3" s="1"/>
  <c r="M247" i="3"/>
  <c r="Q109" i="3"/>
  <c r="W109" i="3"/>
  <c r="E112" i="3"/>
  <c r="L111" i="3"/>
  <c r="G111" i="3"/>
  <c r="V108" i="3"/>
  <c r="U108" i="3"/>
  <c r="Y109" i="3"/>
  <c r="X109" i="3"/>
  <c r="T109" i="3"/>
  <c r="R109" i="3"/>
  <c r="S109" i="3" s="1"/>
  <c r="O246" i="3"/>
  <c r="Z246" i="3"/>
  <c r="AA246" i="3" s="1"/>
  <c r="Y246" i="3" l="1"/>
  <c r="T246" i="3"/>
  <c r="U246" i="3" s="1"/>
  <c r="R246" i="3"/>
  <c r="S246" i="3" s="1"/>
  <c r="E113" i="3"/>
  <c r="L112" i="3"/>
  <c r="G112" i="3"/>
  <c r="Z247" i="3"/>
  <c r="AA247" i="3" s="1"/>
  <c r="O247" i="3"/>
  <c r="U245" i="3"/>
  <c r="V245" i="3"/>
  <c r="U109" i="3"/>
  <c r="V109" i="3"/>
  <c r="R110" i="3"/>
  <c r="S110" i="3" s="1"/>
  <c r="Y110" i="3"/>
  <c r="T110" i="3"/>
  <c r="X110" i="3"/>
  <c r="E248" i="3"/>
  <c r="L248" i="3" s="1"/>
  <c r="M248" i="3"/>
  <c r="Q246" i="3"/>
  <c r="W246" i="3"/>
  <c r="P111" i="3"/>
  <c r="O111" i="3"/>
  <c r="Z111" i="3"/>
  <c r="AA111" i="3" s="1"/>
  <c r="P247" i="3"/>
  <c r="W110" i="3"/>
  <c r="Q110" i="3"/>
  <c r="D250" i="3"/>
  <c r="G249" i="3"/>
  <c r="N249" i="3"/>
  <c r="V246" i="3" l="1"/>
  <c r="P248" i="3"/>
  <c r="Y248" i="3" s="1"/>
  <c r="Y111" i="3"/>
  <c r="X111" i="3"/>
  <c r="T111" i="3"/>
  <c r="R111" i="3"/>
  <c r="S111" i="3" s="1"/>
  <c r="Z248" i="3"/>
  <c r="AA248" i="3" s="1"/>
  <c r="O248" i="3"/>
  <c r="V110" i="3"/>
  <c r="U110" i="3"/>
  <c r="E249" i="3"/>
  <c r="L249" i="3" s="1"/>
  <c r="M249" i="3"/>
  <c r="Y247" i="3"/>
  <c r="X247" i="3"/>
  <c r="T247" i="3"/>
  <c r="R247" i="3"/>
  <c r="S247" i="3" s="1"/>
  <c r="Q111" i="3"/>
  <c r="W111" i="3"/>
  <c r="Q247" i="3"/>
  <c r="W247" i="3"/>
  <c r="D251" i="3"/>
  <c r="G250" i="3"/>
  <c r="N250" i="3"/>
  <c r="O112" i="3"/>
  <c r="Z112" i="3"/>
  <c r="AA112" i="3" s="1"/>
  <c r="P112" i="3"/>
  <c r="E114" i="3"/>
  <c r="L113" i="3"/>
  <c r="G113" i="3"/>
  <c r="R248" i="3" l="1"/>
  <c r="S248" i="3" s="1"/>
  <c r="T248" i="3"/>
  <c r="U248" i="3" s="1"/>
  <c r="X248" i="3"/>
  <c r="R112" i="3"/>
  <c r="S112" i="3" s="1"/>
  <c r="Y112" i="3"/>
  <c r="X112" i="3"/>
  <c r="T112" i="3"/>
  <c r="D252" i="3"/>
  <c r="N251" i="3"/>
  <c r="G251" i="3"/>
  <c r="U111" i="3"/>
  <c r="V111" i="3"/>
  <c r="E250" i="3"/>
  <c r="L250" i="3" s="1"/>
  <c r="M250" i="3"/>
  <c r="P113" i="3"/>
  <c r="O113" i="3"/>
  <c r="Z113" i="3"/>
  <c r="AA113" i="3" s="1"/>
  <c r="W112" i="3"/>
  <c r="Q112" i="3"/>
  <c r="P249" i="3"/>
  <c r="Q248" i="3"/>
  <c r="W248" i="3"/>
  <c r="E115" i="3"/>
  <c r="L114" i="3"/>
  <c r="G114" i="3"/>
  <c r="U247" i="3"/>
  <c r="V247" i="3"/>
  <c r="Z249" i="3"/>
  <c r="AA249" i="3" s="1"/>
  <c r="O249" i="3"/>
  <c r="V248" i="3" l="1"/>
  <c r="Q249" i="3"/>
  <c r="W249" i="3"/>
  <c r="O114" i="3"/>
  <c r="Z114" i="3"/>
  <c r="AA114" i="3" s="1"/>
  <c r="P114" i="3"/>
  <c r="Y249" i="3"/>
  <c r="X249" i="3"/>
  <c r="T249" i="3"/>
  <c r="R249" i="3"/>
  <c r="S249" i="3" s="1"/>
  <c r="Q113" i="3"/>
  <c r="W113" i="3"/>
  <c r="E251" i="3"/>
  <c r="L251" i="3" s="1"/>
  <c r="M251" i="3"/>
  <c r="O250" i="3"/>
  <c r="Z250" i="3"/>
  <c r="AA250" i="3" s="1"/>
  <c r="V112" i="3"/>
  <c r="U112" i="3"/>
  <c r="E116" i="3"/>
  <c r="L115" i="3"/>
  <c r="G115" i="3"/>
  <c r="Y113" i="3"/>
  <c r="X113" i="3"/>
  <c r="T113" i="3"/>
  <c r="R113" i="3"/>
  <c r="S113" i="3" s="1"/>
  <c r="P250" i="3"/>
  <c r="D253" i="3"/>
  <c r="G252" i="3"/>
  <c r="N252" i="3"/>
  <c r="W114" i="3" l="1"/>
  <c r="Q114" i="3"/>
  <c r="P115" i="3"/>
  <c r="O115" i="3"/>
  <c r="Z115" i="3"/>
  <c r="AA115" i="3" s="1"/>
  <c r="D254" i="3"/>
  <c r="G253" i="3"/>
  <c r="N253" i="3"/>
  <c r="E117" i="3"/>
  <c r="L116" i="3"/>
  <c r="G116" i="3"/>
  <c r="Q250" i="3"/>
  <c r="W250" i="3"/>
  <c r="Z251" i="3"/>
  <c r="AA251" i="3" s="1"/>
  <c r="O251" i="3"/>
  <c r="U249" i="3"/>
  <c r="V249" i="3"/>
  <c r="E252" i="3"/>
  <c r="L252" i="3" s="1"/>
  <c r="M252" i="3"/>
  <c r="U113" i="3"/>
  <c r="V113" i="3"/>
  <c r="Y250" i="3"/>
  <c r="X250" i="3"/>
  <c r="T250" i="3"/>
  <c r="R250" i="3"/>
  <c r="S250" i="3" s="1"/>
  <c r="P251" i="3"/>
  <c r="R114" i="3"/>
  <c r="S114" i="3" s="1"/>
  <c r="Y114" i="3"/>
  <c r="X114" i="3"/>
  <c r="T114" i="3"/>
  <c r="U250" i="3" l="1"/>
  <c r="V250" i="3"/>
  <c r="Q115" i="3"/>
  <c r="W115" i="3"/>
  <c r="P252" i="3"/>
  <c r="Q251" i="3"/>
  <c r="W251" i="3"/>
  <c r="E253" i="3"/>
  <c r="L253" i="3" s="1"/>
  <c r="M253" i="3"/>
  <c r="Y115" i="3"/>
  <c r="X115" i="3"/>
  <c r="T115" i="3"/>
  <c r="R115" i="3"/>
  <c r="S115" i="3" s="1"/>
  <c r="V114" i="3"/>
  <c r="U114" i="3"/>
  <c r="Y251" i="3"/>
  <c r="X251" i="3"/>
  <c r="T251" i="3"/>
  <c r="R251" i="3"/>
  <c r="S251" i="3" s="1"/>
  <c r="Z252" i="3"/>
  <c r="AA252" i="3" s="1"/>
  <c r="O252" i="3"/>
  <c r="O116" i="3"/>
  <c r="Z116" i="3"/>
  <c r="AA116" i="3" s="1"/>
  <c r="P116" i="3"/>
  <c r="D255" i="3"/>
  <c r="G254" i="3"/>
  <c r="N254" i="3"/>
  <c r="E118" i="3"/>
  <c r="L117" i="3"/>
  <c r="G117" i="3"/>
  <c r="E119" i="3" l="1"/>
  <c r="L118" i="3"/>
  <c r="G118" i="3"/>
  <c r="R116" i="3"/>
  <c r="S116" i="3" s="1"/>
  <c r="Y116" i="3"/>
  <c r="X116" i="3"/>
  <c r="T116" i="3"/>
  <c r="U115" i="3"/>
  <c r="V115" i="3"/>
  <c r="E254" i="3"/>
  <c r="L254" i="3" s="1"/>
  <c r="M254" i="3"/>
  <c r="Z253" i="3"/>
  <c r="AA253" i="3" s="1"/>
  <c r="O253" i="3"/>
  <c r="W116" i="3"/>
  <c r="Q116" i="3"/>
  <c r="U251" i="3"/>
  <c r="V251" i="3"/>
  <c r="P117" i="3"/>
  <c r="O117" i="3"/>
  <c r="Z117" i="3"/>
  <c r="AA117" i="3" s="1"/>
  <c r="D256" i="3"/>
  <c r="N255" i="3"/>
  <c r="G255" i="3"/>
  <c r="Q252" i="3"/>
  <c r="W252" i="3"/>
  <c r="P253" i="3"/>
  <c r="Y252" i="3"/>
  <c r="X252" i="3"/>
  <c r="T252" i="3"/>
  <c r="R252" i="3"/>
  <c r="S252" i="3" s="1"/>
  <c r="E255" i="3" l="1"/>
  <c r="L255" i="3" s="1"/>
  <c r="M255" i="3"/>
  <c r="Q117" i="3"/>
  <c r="W117" i="3"/>
  <c r="P254" i="3"/>
  <c r="V116" i="3"/>
  <c r="U116" i="3"/>
  <c r="Y253" i="3"/>
  <c r="X253" i="3"/>
  <c r="T253" i="3"/>
  <c r="R253" i="3"/>
  <c r="S253" i="3" s="1"/>
  <c r="Y117" i="3"/>
  <c r="X117" i="3"/>
  <c r="T117" i="3"/>
  <c r="R117" i="3"/>
  <c r="S117" i="3" s="1"/>
  <c r="O254" i="3"/>
  <c r="Z254" i="3"/>
  <c r="AA254" i="3" s="1"/>
  <c r="O118" i="3"/>
  <c r="Z118" i="3"/>
  <c r="AA118" i="3" s="1"/>
  <c r="P118" i="3"/>
  <c r="U252" i="3"/>
  <c r="V252" i="3"/>
  <c r="D257" i="3"/>
  <c r="G256" i="3"/>
  <c r="N256" i="3"/>
  <c r="Q253" i="3"/>
  <c r="W253" i="3"/>
  <c r="E120" i="3"/>
  <c r="L119" i="3"/>
  <c r="G119" i="3"/>
  <c r="P255" i="3" l="1"/>
  <c r="Y255" i="3" s="1"/>
  <c r="D258" i="3"/>
  <c r="G257" i="3"/>
  <c r="N257" i="3"/>
  <c r="E121" i="3"/>
  <c r="L120" i="3"/>
  <c r="G120" i="3"/>
  <c r="R118" i="3"/>
  <c r="S118" i="3" s="1"/>
  <c r="Y118" i="3"/>
  <c r="T118" i="3"/>
  <c r="X118" i="3"/>
  <c r="W118" i="3"/>
  <c r="Q118" i="3"/>
  <c r="U117" i="3"/>
  <c r="V117" i="3"/>
  <c r="U253" i="3"/>
  <c r="V253" i="3"/>
  <c r="E256" i="3"/>
  <c r="L256" i="3" s="1"/>
  <c r="M256" i="3"/>
  <c r="Q254" i="3"/>
  <c r="W254" i="3"/>
  <c r="P119" i="3"/>
  <c r="O119" i="3"/>
  <c r="Z119" i="3"/>
  <c r="AA119" i="3" s="1"/>
  <c r="Y254" i="3"/>
  <c r="X254" i="3"/>
  <c r="T254" i="3"/>
  <c r="R254" i="3"/>
  <c r="S254" i="3" s="1"/>
  <c r="Z255" i="3"/>
  <c r="AA255" i="3" s="1"/>
  <c r="O255" i="3"/>
  <c r="T255" i="3" l="1"/>
  <c r="V255" i="3" s="1"/>
  <c r="X255" i="3"/>
  <c r="R255" i="3"/>
  <c r="S255" i="3" s="1"/>
  <c r="P256" i="3"/>
  <c r="Y256" i="3" s="1"/>
  <c r="L121" i="3"/>
  <c r="G121" i="3"/>
  <c r="U254" i="3"/>
  <c r="V254" i="3"/>
  <c r="Q119" i="3"/>
  <c r="W119" i="3"/>
  <c r="E257" i="3"/>
  <c r="L257" i="3" s="1"/>
  <c r="M257" i="3"/>
  <c r="Q255" i="3"/>
  <c r="W255" i="3"/>
  <c r="Y119" i="3"/>
  <c r="X119" i="3"/>
  <c r="T119" i="3"/>
  <c r="R119" i="3"/>
  <c r="S119" i="3" s="1"/>
  <c r="Z256" i="3"/>
  <c r="AA256" i="3" s="1"/>
  <c r="O256" i="3"/>
  <c r="V118" i="3"/>
  <c r="U118" i="3"/>
  <c r="O120" i="3"/>
  <c r="Z120" i="3"/>
  <c r="AA120" i="3" s="1"/>
  <c r="P120" i="3"/>
  <c r="G258" i="3"/>
  <c r="N258" i="3"/>
  <c r="D259" i="3"/>
  <c r="U255" i="3" l="1"/>
  <c r="R256" i="3"/>
  <c r="S256" i="3" s="1"/>
  <c r="T256" i="3"/>
  <c r="U256" i="3" s="1"/>
  <c r="X256" i="3"/>
  <c r="P257" i="3"/>
  <c r="R257" i="3" s="1"/>
  <c r="S257" i="3" s="1"/>
  <c r="E258" i="3"/>
  <c r="L258" i="3" s="1"/>
  <c r="M258" i="3"/>
  <c r="R120" i="3"/>
  <c r="S120" i="3" s="1"/>
  <c r="Y120" i="3"/>
  <c r="X120" i="3"/>
  <c r="T120" i="3"/>
  <c r="U119" i="3"/>
  <c r="V119" i="3"/>
  <c r="P121" i="3"/>
  <c r="O121" i="3"/>
  <c r="Z121" i="3"/>
  <c r="AA121" i="3" s="1"/>
  <c r="D260" i="3"/>
  <c r="N259" i="3"/>
  <c r="G259" i="3"/>
  <c r="Q256" i="3"/>
  <c r="W256" i="3"/>
  <c r="W120" i="3"/>
  <c r="Q120" i="3"/>
  <c r="Z257" i="3"/>
  <c r="AA257" i="3" s="1"/>
  <c r="O257" i="3"/>
  <c r="V256" i="3" l="1"/>
  <c r="X257" i="3"/>
  <c r="Y257" i="3"/>
  <c r="P258" i="3"/>
  <c r="Y258" i="3" s="1"/>
  <c r="Y121" i="3"/>
  <c r="X121" i="3"/>
  <c r="T121" i="3"/>
  <c r="R121" i="3"/>
  <c r="S121" i="3" s="1"/>
  <c r="Z258" i="3"/>
  <c r="AA258" i="3" s="1"/>
  <c r="O258" i="3"/>
  <c r="Q257" i="3"/>
  <c r="W257" i="3"/>
  <c r="D261" i="3"/>
  <c r="N260" i="3"/>
  <c r="G260" i="3"/>
  <c r="F259" i="3"/>
  <c r="E259" i="3"/>
  <c r="L259" i="3" s="1"/>
  <c r="Q121" i="3"/>
  <c r="W121" i="3"/>
  <c r="V120" i="3"/>
  <c r="U120" i="3"/>
  <c r="T257" i="3"/>
  <c r="R258" i="3" l="1"/>
  <c r="S258" i="3" s="1"/>
  <c r="X258" i="3"/>
  <c r="T258" i="3"/>
  <c r="V258" i="3" s="1"/>
  <c r="U257" i="3"/>
  <c r="V257" i="3"/>
  <c r="Z259" i="3"/>
  <c r="AA259" i="3" s="1"/>
  <c r="F260" i="3"/>
  <c r="E260" i="3"/>
  <c r="L260" i="3" s="1"/>
  <c r="U121" i="3"/>
  <c r="V121" i="3"/>
  <c r="I259" i="3"/>
  <c r="H259" i="3"/>
  <c r="J259" i="3" s="1"/>
  <c r="M259" i="3" s="1"/>
  <c r="Q258" i="3"/>
  <c r="W258" i="3"/>
  <c r="N261" i="3"/>
  <c r="G261" i="3"/>
  <c r="U258" i="3" l="1"/>
  <c r="K259" i="3"/>
  <c r="P259" i="3" s="1"/>
  <c r="H260" i="3"/>
  <c r="J260" i="3" s="1"/>
  <c r="M260" i="3" s="1"/>
  <c r="O260" i="3" s="1"/>
  <c r="I260" i="3"/>
  <c r="Z260" i="3"/>
  <c r="AA260" i="3" s="1"/>
  <c r="O259" i="3"/>
  <c r="F261" i="3"/>
  <c r="E261" i="3"/>
  <c r="L261" i="3" s="1"/>
  <c r="K260" i="3" l="1"/>
  <c r="P260" i="3" s="1"/>
  <c r="Z261" i="3"/>
  <c r="AA261" i="3" s="1"/>
  <c r="Q259" i="3"/>
  <c r="W259" i="3"/>
  <c r="Y259" i="3"/>
  <c r="R259" i="3"/>
  <c r="S259" i="3" s="1"/>
  <c r="T259" i="3"/>
  <c r="X259" i="3"/>
  <c r="W260" i="3"/>
  <c r="Q260" i="3"/>
  <c r="I261" i="3"/>
  <c r="H261" i="3"/>
  <c r="J261" i="3" s="1"/>
  <c r="M261" i="3" s="1"/>
  <c r="C22" i="2"/>
  <c r="C16" i="2"/>
  <c r="X260" i="3" l="1"/>
  <c r="T260" i="3"/>
  <c r="Y260" i="3"/>
  <c r="R260" i="3"/>
  <c r="S260" i="3" s="1"/>
  <c r="U259" i="3"/>
  <c r="V259" i="3"/>
  <c r="K261" i="3"/>
  <c r="P261" i="3" s="1"/>
  <c r="I262" i="3"/>
  <c r="K262" i="3" s="1"/>
  <c r="P262" i="3" s="1"/>
  <c r="O261" i="3"/>
  <c r="R22" i="2"/>
  <c r="Z21" i="2"/>
  <c r="T22" i="2" l="1"/>
  <c r="U22" i="2"/>
  <c r="V22" i="2"/>
  <c r="W22" i="2"/>
  <c r="Y261" i="3"/>
  <c r="T261" i="3"/>
  <c r="X261" i="3"/>
  <c r="R261" i="3"/>
  <c r="S261" i="3" s="1"/>
  <c r="W261" i="3"/>
  <c r="Q261" i="3"/>
  <c r="V260" i="3"/>
  <c r="U260" i="3"/>
  <c r="R262" i="3"/>
  <c r="S262" i="3" s="1"/>
  <c r="Y262" i="3"/>
  <c r="T262" i="3"/>
  <c r="X262" i="3"/>
  <c r="AA16" i="2"/>
  <c r="AA17" i="2"/>
  <c r="AA22" i="2"/>
  <c r="AA23" i="2"/>
  <c r="AB23" i="2"/>
  <c r="D22" i="2"/>
  <c r="R23" i="2"/>
  <c r="K6" i="7" l="1"/>
  <c r="M6" i="7" s="1"/>
  <c r="V23" i="2"/>
  <c r="W23" i="2"/>
  <c r="T23" i="2"/>
  <c r="U23" i="2"/>
  <c r="W17" i="2"/>
  <c r="T16" i="2"/>
  <c r="U16" i="2"/>
  <c r="V17" i="2"/>
  <c r="U17" i="2"/>
  <c r="W16" i="2"/>
  <c r="V16" i="2"/>
  <c r="T17" i="2"/>
  <c r="C15" i="7"/>
  <c r="V261" i="3"/>
  <c r="U261" i="3"/>
  <c r="V262" i="3"/>
  <c r="U262" i="3"/>
  <c r="AD23" i="2"/>
  <c r="I8" i="2" s="1"/>
  <c r="AB16" i="2"/>
  <c r="AC16" i="2" s="1"/>
  <c r="AB22" i="2"/>
  <c r="AD22" i="2" s="1"/>
  <c r="I7" i="2" s="1"/>
  <c r="AB17" i="2"/>
  <c r="AD17" i="2" s="1"/>
  <c r="B8" i="2" s="1"/>
  <c r="AC23" i="2"/>
  <c r="D23" i="2"/>
  <c r="E22" i="2" s="1"/>
  <c r="X22" i="2"/>
  <c r="K22" i="2" l="1"/>
  <c r="L22" i="2" s="1"/>
  <c r="M22" i="2" s="1"/>
  <c r="L6" i="7"/>
  <c r="B8" i="7" s="1"/>
  <c r="B6" i="10"/>
  <c r="B4" i="10"/>
  <c r="X16" i="2"/>
  <c r="S16" i="2"/>
  <c r="D16" i="2" s="1"/>
  <c r="AD16" i="2"/>
  <c r="B7" i="2" s="1"/>
  <c r="AC22" i="2"/>
  <c r="AC17" i="2"/>
  <c r="F22" i="2"/>
  <c r="G22" i="2" s="1"/>
  <c r="X23" i="2"/>
  <c r="F23" i="2" s="1"/>
  <c r="G23" i="2" s="1"/>
  <c r="Y22" i="2"/>
  <c r="P175" i="10" l="1"/>
  <c r="P112" i="10"/>
  <c r="P36" i="10"/>
  <c r="Q36" i="10" s="1"/>
  <c r="P100" i="10"/>
  <c r="Q100" i="10" s="1"/>
  <c r="P164" i="10"/>
  <c r="P144" i="10"/>
  <c r="P56" i="10"/>
  <c r="Q56" i="10" s="1"/>
  <c r="P120" i="10"/>
  <c r="Q120" i="10" s="1"/>
  <c r="P128" i="10"/>
  <c r="P60" i="10"/>
  <c r="P124" i="10"/>
  <c r="Q124" i="10" s="1"/>
  <c r="P5" i="10"/>
  <c r="Q5" i="10" s="1"/>
  <c r="P21" i="10"/>
  <c r="P37" i="10"/>
  <c r="P53" i="10"/>
  <c r="Q53" i="10" s="1"/>
  <c r="P69" i="10"/>
  <c r="Q69" i="10" s="1"/>
  <c r="P85" i="10"/>
  <c r="P101" i="10"/>
  <c r="P117" i="10"/>
  <c r="Q117" i="10" s="1"/>
  <c r="P133" i="10"/>
  <c r="Q133" i="10" s="1"/>
  <c r="P149" i="10"/>
  <c r="P165" i="10"/>
  <c r="P10" i="10"/>
  <c r="Q10" i="10" s="1"/>
  <c r="P26" i="10"/>
  <c r="Q26" i="10" s="1"/>
  <c r="P42" i="10"/>
  <c r="P58" i="10"/>
  <c r="P74" i="10"/>
  <c r="P90" i="10"/>
  <c r="Q90" i="10" s="1"/>
  <c r="P106" i="10"/>
  <c r="P122" i="10"/>
  <c r="P138" i="10"/>
  <c r="P154" i="10"/>
  <c r="Q154" i="10" s="1"/>
  <c r="P170" i="10"/>
  <c r="P15" i="10"/>
  <c r="P31" i="10"/>
  <c r="P47" i="10"/>
  <c r="Q47" i="10" s="1"/>
  <c r="P63" i="10"/>
  <c r="P79" i="10"/>
  <c r="P95" i="10"/>
  <c r="P111" i="10"/>
  <c r="Q111" i="10" s="1"/>
  <c r="P127" i="10"/>
  <c r="P143" i="10"/>
  <c r="P159" i="10"/>
  <c r="Q159" i="10" s="1"/>
  <c r="P80" i="10"/>
  <c r="Q80" i="10" s="1"/>
  <c r="P20" i="10"/>
  <c r="P148" i="10"/>
  <c r="P96" i="10"/>
  <c r="Q96" i="10" s="1"/>
  <c r="P40" i="10"/>
  <c r="Q40" i="10" s="1"/>
  <c r="P104" i="10"/>
  <c r="P44" i="10"/>
  <c r="P17" i="10"/>
  <c r="Q17" i="10" s="1"/>
  <c r="P49" i="10"/>
  <c r="Q49" i="10" s="1"/>
  <c r="P81" i="10"/>
  <c r="P129" i="10"/>
  <c r="P6" i="10"/>
  <c r="Q6" i="10" s="1"/>
  <c r="P54" i="10"/>
  <c r="Q54" i="10" s="1"/>
  <c r="P102" i="10"/>
  <c r="P150" i="10"/>
  <c r="P27" i="10"/>
  <c r="Q27" i="10" s="1"/>
  <c r="P75" i="10"/>
  <c r="Q75" i="10" s="1"/>
  <c r="P123" i="10"/>
  <c r="P171" i="10"/>
  <c r="P16" i="10"/>
  <c r="Q16" i="10" s="1"/>
  <c r="P160" i="10"/>
  <c r="Q160" i="10" s="1"/>
  <c r="P52" i="10"/>
  <c r="P116" i="10"/>
  <c r="P32" i="10"/>
  <c r="Q32" i="10" s="1"/>
  <c r="P8" i="10"/>
  <c r="Q8" i="10" s="1"/>
  <c r="P72" i="10"/>
  <c r="P136" i="10"/>
  <c r="P12" i="10"/>
  <c r="Q12" i="10" s="1"/>
  <c r="P76" i="10"/>
  <c r="Q76" i="10" s="1"/>
  <c r="P140" i="10"/>
  <c r="P9" i="10"/>
  <c r="P25" i="10"/>
  <c r="Q25" i="10" s="1"/>
  <c r="P41" i="10"/>
  <c r="P57" i="10"/>
  <c r="P73" i="10"/>
  <c r="P89" i="10"/>
  <c r="P105" i="10"/>
  <c r="P121" i="10"/>
  <c r="P137" i="10"/>
  <c r="P153" i="10"/>
  <c r="Q153" i="10" s="1"/>
  <c r="P169" i="10"/>
  <c r="Q169" i="10" s="1"/>
  <c r="P14" i="10"/>
  <c r="P30" i="10"/>
  <c r="P46" i="10"/>
  <c r="Q46" i="10" s="1"/>
  <c r="P62" i="10"/>
  <c r="Q62" i="10" s="1"/>
  <c r="P78" i="10"/>
  <c r="P94" i="10"/>
  <c r="P110" i="10"/>
  <c r="P126" i="10"/>
  <c r="Q126" i="10" s="1"/>
  <c r="P142" i="10"/>
  <c r="P158" i="10"/>
  <c r="P174" i="10"/>
  <c r="P19" i="10"/>
  <c r="Q19" i="10" s="1"/>
  <c r="P35" i="10"/>
  <c r="P51" i="10"/>
  <c r="P67" i="10"/>
  <c r="Q67" i="10" s="1"/>
  <c r="P83" i="10"/>
  <c r="Q83" i="10" s="1"/>
  <c r="P99" i="10"/>
  <c r="P115" i="10"/>
  <c r="P131" i="10"/>
  <c r="P147" i="10"/>
  <c r="P163" i="10"/>
  <c r="P84" i="10"/>
  <c r="P168" i="10"/>
  <c r="Q168" i="10" s="1"/>
  <c r="P172" i="10"/>
  <c r="Q172" i="10" s="1"/>
  <c r="P33" i="10"/>
  <c r="P65" i="10"/>
  <c r="P113" i="10"/>
  <c r="Q113" i="10" s="1"/>
  <c r="P145" i="10"/>
  <c r="P22" i="10"/>
  <c r="P70" i="10"/>
  <c r="P118" i="10"/>
  <c r="Q118" i="10" s="1"/>
  <c r="P166" i="10"/>
  <c r="Q166" i="10" s="1"/>
  <c r="P43" i="10"/>
  <c r="P91" i="10"/>
  <c r="P139" i="10"/>
  <c r="Q139" i="10" s="1"/>
  <c r="P48" i="10"/>
  <c r="Q48" i="10" s="1"/>
  <c r="P4" i="10"/>
  <c r="P68" i="10"/>
  <c r="P132" i="10"/>
  <c r="Q132" i="10" s="1"/>
  <c r="P64" i="10"/>
  <c r="Q64" i="10" s="1"/>
  <c r="P24" i="10"/>
  <c r="P88" i="10"/>
  <c r="P152" i="10"/>
  <c r="Q152" i="10" s="1"/>
  <c r="P28" i="10"/>
  <c r="Q28" i="10" s="1"/>
  <c r="P92" i="10"/>
  <c r="P156" i="10"/>
  <c r="P13" i="10"/>
  <c r="Q13" i="10" s="1"/>
  <c r="P29" i="10"/>
  <c r="Q29" i="10" s="1"/>
  <c r="P45" i="10"/>
  <c r="P61" i="10"/>
  <c r="P77" i="10"/>
  <c r="Q77" i="10" s="1"/>
  <c r="P93" i="10"/>
  <c r="Q93" i="10" s="1"/>
  <c r="P109" i="10"/>
  <c r="P125" i="10"/>
  <c r="P141" i="10"/>
  <c r="Q141" i="10" s="1"/>
  <c r="P157" i="10"/>
  <c r="Q157" i="10" s="1"/>
  <c r="P173" i="10"/>
  <c r="P18" i="10"/>
  <c r="P34" i="10"/>
  <c r="Q34" i="10" s="1"/>
  <c r="P50" i="10"/>
  <c r="Q50" i="10" s="1"/>
  <c r="P66" i="10"/>
  <c r="P82" i="10"/>
  <c r="P98" i="10"/>
  <c r="P114" i="10"/>
  <c r="Q114" i="10" s="1"/>
  <c r="P130" i="10"/>
  <c r="P146" i="10"/>
  <c r="P162" i="10"/>
  <c r="P7" i="10"/>
  <c r="Q7" i="10" s="1"/>
  <c r="P23" i="10"/>
  <c r="P39" i="10"/>
  <c r="P55" i="10"/>
  <c r="Q55" i="10" s="1"/>
  <c r="P71" i="10"/>
  <c r="Q71" i="10" s="1"/>
  <c r="P87" i="10"/>
  <c r="P103" i="10"/>
  <c r="P119" i="10"/>
  <c r="Q119" i="10" s="1"/>
  <c r="P135" i="10"/>
  <c r="Q135" i="10" s="1"/>
  <c r="P151" i="10"/>
  <c r="P167" i="10"/>
  <c r="P108" i="10"/>
  <c r="P97" i="10"/>
  <c r="Q97" i="10" s="1"/>
  <c r="P161" i="10"/>
  <c r="P38" i="10"/>
  <c r="P86" i="10"/>
  <c r="Q86" i="10" s="1"/>
  <c r="P134" i="10"/>
  <c r="P11" i="10"/>
  <c r="P59" i="10"/>
  <c r="P107" i="10"/>
  <c r="Q107" i="10" s="1"/>
  <c r="P155" i="10"/>
  <c r="K23" i="2"/>
  <c r="Y174" i="10"/>
  <c r="Y170" i="10"/>
  <c r="Y166" i="10"/>
  <c r="Y162" i="10"/>
  <c r="Y158" i="10"/>
  <c r="Y154" i="10"/>
  <c r="Y150" i="10"/>
  <c r="Y146" i="10"/>
  <c r="Y142" i="10"/>
  <c r="Y138" i="10"/>
  <c r="Y134" i="10"/>
  <c r="Y130" i="10"/>
  <c r="Y126" i="10"/>
  <c r="Y122" i="10"/>
  <c r="Y118" i="10"/>
  <c r="Y114" i="10"/>
  <c r="Y110" i="10"/>
  <c r="Y106" i="10"/>
  <c r="Y102" i="10"/>
  <c r="Y98" i="10"/>
  <c r="Y94" i="10"/>
  <c r="Y90" i="10"/>
  <c r="Y86" i="10"/>
  <c r="Y82" i="10"/>
  <c r="Y78" i="10"/>
  <c r="Y74" i="10"/>
  <c r="Y70" i="10"/>
  <c r="Y66" i="10"/>
  <c r="Y62" i="10"/>
  <c r="Y58" i="10"/>
  <c r="Y54" i="10"/>
  <c r="Y50" i="10"/>
  <c r="Y46" i="10"/>
  <c r="Y42" i="10"/>
  <c r="Y38" i="10"/>
  <c r="Y34" i="10"/>
  <c r="Y30" i="10"/>
  <c r="Y26" i="10"/>
  <c r="Y22" i="10"/>
  <c r="Y18" i="10"/>
  <c r="Y14" i="10"/>
  <c r="Y10" i="10"/>
  <c r="Y6" i="10"/>
  <c r="G110" i="10"/>
  <c r="Y159" i="10"/>
  <c r="Y131" i="10"/>
  <c r="Y119" i="10"/>
  <c r="Y107" i="10"/>
  <c r="Y95" i="10"/>
  <c r="Y83" i="10"/>
  <c r="Y71" i="10"/>
  <c r="Y59" i="10"/>
  <c r="Y47" i="10"/>
  <c r="Y35" i="10"/>
  <c r="Y23" i="10"/>
  <c r="Y11" i="10"/>
  <c r="Y173" i="10"/>
  <c r="Y169" i="10"/>
  <c r="Y165" i="10"/>
  <c r="Y161" i="10"/>
  <c r="Y157" i="10"/>
  <c r="Y153" i="10"/>
  <c r="Y149" i="10"/>
  <c r="Y145" i="10"/>
  <c r="Y141" i="10"/>
  <c r="Y137" i="10"/>
  <c r="Y133" i="10"/>
  <c r="Y129" i="10"/>
  <c r="Y125" i="10"/>
  <c r="Y121" i="10"/>
  <c r="Y117" i="10"/>
  <c r="Y113" i="10"/>
  <c r="Y109" i="10"/>
  <c r="Y105" i="10"/>
  <c r="Y101" i="10"/>
  <c r="Y97" i="10"/>
  <c r="Y93" i="10"/>
  <c r="Y89" i="10"/>
  <c r="Y85" i="10"/>
  <c r="Y81" i="10"/>
  <c r="Y77" i="10"/>
  <c r="Y73" i="10"/>
  <c r="Y69" i="10"/>
  <c r="Y65" i="10"/>
  <c r="Y61" i="10"/>
  <c r="Y57" i="10"/>
  <c r="Y53" i="10"/>
  <c r="Y49" i="10"/>
  <c r="Y45" i="10"/>
  <c r="Y41" i="10"/>
  <c r="Y37" i="10"/>
  <c r="Y33" i="10"/>
  <c r="Y29" i="10"/>
  <c r="Y25" i="10"/>
  <c r="Y21" i="10"/>
  <c r="Y17" i="10"/>
  <c r="Y13" i="10"/>
  <c r="Y9" i="10"/>
  <c r="Y5" i="10"/>
  <c r="G46" i="10"/>
  <c r="Y171" i="10"/>
  <c r="Y163" i="10"/>
  <c r="Y151" i="10"/>
  <c r="Y143" i="10"/>
  <c r="Y135" i="10"/>
  <c r="Y123" i="10"/>
  <c r="Y111" i="10"/>
  <c r="Y99" i="10"/>
  <c r="Y87" i="10"/>
  <c r="Y75" i="10"/>
  <c r="Y63" i="10"/>
  <c r="Y51" i="10"/>
  <c r="Y39" i="10"/>
  <c r="Y27" i="10"/>
  <c r="Y15" i="10"/>
  <c r="Y7" i="10"/>
  <c r="Y172" i="10"/>
  <c r="Y168" i="10"/>
  <c r="Y164" i="10"/>
  <c r="Y160" i="10"/>
  <c r="Y156" i="10"/>
  <c r="Y152" i="10"/>
  <c r="Y148" i="10"/>
  <c r="Y144" i="10"/>
  <c r="Y140" i="10"/>
  <c r="Y136" i="10"/>
  <c r="Y132" i="10"/>
  <c r="Y128" i="10"/>
  <c r="Y124" i="10"/>
  <c r="Y120" i="10"/>
  <c r="Y116" i="10"/>
  <c r="Y112" i="10"/>
  <c r="Y108" i="10"/>
  <c r="Y104" i="10"/>
  <c r="Y100" i="10"/>
  <c r="Y96" i="10"/>
  <c r="Y92" i="10"/>
  <c r="Y88" i="10"/>
  <c r="Y84" i="10"/>
  <c r="Y80" i="10"/>
  <c r="Y76" i="10"/>
  <c r="Y72" i="10"/>
  <c r="Y68" i="10"/>
  <c r="Y64" i="10"/>
  <c r="Y60" i="10"/>
  <c r="Y56" i="10"/>
  <c r="Y52" i="10"/>
  <c r="Y48" i="10"/>
  <c r="Y44" i="10"/>
  <c r="Y40" i="10"/>
  <c r="Y36" i="10"/>
  <c r="Y32" i="10"/>
  <c r="Y28" i="10"/>
  <c r="Y24" i="10"/>
  <c r="Y20" i="10"/>
  <c r="Y16" i="10"/>
  <c r="Y12" i="10"/>
  <c r="Y8" i="10"/>
  <c r="Y175" i="10"/>
  <c r="Y167" i="10"/>
  <c r="Y155" i="10"/>
  <c r="Y147" i="10"/>
  <c r="Y139" i="10"/>
  <c r="Y127" i="10"/>
  <c r="Y115" i="10"/>
  <c r="Y103" i="10"/>
  <c r="Y91" i="10"/>
  <c r="Y79" i="10"/>
  <c r="Y67" i="10"/>
  <c r="Y55" i="10"/>
  <c r="Y43" i="10"/>
  <c r="Y31" i="10"/>
  <c r="Y19" i="10"/>
  <c r="Y4" i="10"/>
  <c r="G14" i="10"/>
  <c r="G126" i="10"/>
  <c r="G82" i="10"/>
  <c r="G167" i="10"/>
  <c r="G66" i="10"/>
  <c r="G38" i="10"/>
  <c r="G102" i="10"/>
  <c r="G173" i="10"/>
  <c r="G58" i="10"/>
  <c r="G122" i="10"/>
  <c r="G7" i="10"/>
  <c r="G23" i="10"/>
  <c r="G39" i="10"/>
  <c r="G55" i="10"/>
  <c r="G71" i="10"/>
  <c r="G87" i="10"/>
  <c r="G103" i="10"/>
  <c r="G119" i="10"/>
  <c r="G135" i="10"/>
  <c r="G153" i="10"/>
  <c r="G174" i="10"/>
  <c r="G8" i="10"/>
  <c r="G24" i="10"/>
  <c r="G40" i="10"/>
  <c r="G56" i="10"/>
  <c r="G72" i="10"/>
  <c r="G88" i="10"/>
  <c r="G104" i="10"/>
  <c r="G120" i="10"/>
  <c r="G136" i="10"/>
  <c r="G154" i="10"/>
  <c r="G175" i="10"/>
  <c r="G17" i="10"/>
  <c r="G33" i="10"/>
  <c r="G49" i="10"/>
  <c r="G65" i="10"/>
  <c r="G81" i="10"/>
  <c r="G97" i="10"/>
  <c r="G113" i="10"/>
  <c r="G129" i="10"/>
  <c r="G145" i="10"/>
  <c r="G166" i="10"/>
  <c r="G152" i="10"/>
  <c r="G168" i="10"/>
  <c r="G78" i="10"/>
  <c r="G30" i="10"/>
  <c r="G114" i="10"/>
  <c r="G18" i="10"/>
  <c r="G98" i="10"/>
  <c r="G54" i="10"/>
  <c r="G118" i="10"/>
  <c r="G10" i="10"/>
  <c r="G74" i="10"/>
  <c r="G138" i="10"/>
  <c r="G11" i="10"/>
  <c r="G27" i="10"/>
  <c r="G43" i="10"/>
  <c r="G59" i="10"/>
  <c r="G75" i="10"/>
  <c r="G91" i="10"/>
  <c r="G107" i="10"/>
  <c r="G123" i="10"/>
  <c r="G139" i="10"/>
  <c r="G158" i="10"/>
  <c r="G12" i="10"/>
  <c r="G28" i="10"/>
  <c r="G44" i="10"/>
  <c r="G60" i="10"/>
  <c r="G76" i="10"/>
  <c r="G92" i="10"/>
  <c r="G108" i="10"/>
  <c r="G124" i="10"/>
  <c r="G140" i="10"/>
  <c r="G159" i="10"/>
  <c r="G5" i="10"/>
  <c r="G21" i="10"/>
  <c r="G37" i="10"/>
  <c r="G53" i="10"/>
  <c r="G69" i="10"/>
  <c r="G85" i="10"/>
  <c r="G101" i="10"/>
  <c r="G117" i="10"/>
  <c r="G133" i="10"/>
  <c r="G150" i="10"/>
  <c r="G171" i="10"/>
  <c r="G156" i="10"/>
  <c r="G172" i="10"/>
  <c r="G142" i="10"/>
  <c r="G94" i="10"/>
  <c r="G130" i="10"/>
  <c r="G34" i="10"/>
  <c r="G6" i="10"/>
  <c r="G70" i="10"/>
  <c r="G134" i="10"/>
  <c r="G26" i="10"/>
  <c r="G90" i="10"/>
  <c r="G157" i="10"/>
  <c r="G15" i="10"/>
  <c r="G31" i="10"/>
  <c r="G47" i="10"/>
  <c r="G63" i="10"/>
  <c r="G79" i="10"/>
  <c r="G95" i="10"/>
  <c r="G111" i="10"/>
  <c r="G127" i="10"/>
  <c r="G143" i="10"/>
  <c r="G163" i="10"/>
  <c r="G16" i="10"/>
  <c r="G32" i="10"/>
  <c r="G48" i="10"/>
  <c r="G64" i="10"/>
  <c r="G80" i="10"/>
  <c r="G96" i="10"/>
  <c r="G112" i="10"/>
  <c r="G128" i="10"/>
  <c r="G144" i="10"/>
  <c r="G165" i="10"/>
  <c r="G9" i="10"/>
  <c r="G25" i="10"/>
  <c r="G41" i="10"/>
  <c r="G57" i="10"/>
  <c r="G73" i="10"/>
  <c r="G89" i="10"/>
  <c r="G105" i="10"/>
  <c r="G121" i="10"/>
  <c r="G137" i="10"/>
  <c r="G155" i="10"/>
  <c r="G160" i="10"/>
  <c r="G4" i="10"/>
  <c r="G62" i="10"/>
  <c r="G22" i="10"/>
  <c r="G106" i="10"/>
  <c r="G51" i="10"/>
  <c r="G115" i="10"/>
  <c r="G36" i="10"/>
  <c r="G100" i="10"/>
  <c r="G170" i="10"/>
  <c r="G61" i="10"/>
  <c r="G125" i="10"/>
  <c r="G148" i="10"/>
  <c r="G162" i="10"/>
  <c r="G86" i="10"/>
  <c r="G67" i="10"/>
  <c r="G131" i="10"/>
  <c r="G52" i="10"/>
  <c r="G116" i="10"/>
  <c r="G13" i="10"/>
  <c r="G77" i="10"/>
  <c r="G141" i="10"/>
  <c r="G164" i="10"/>
  <c r="G146" i="10"/>
  <c r="G151" i="10"/>
  <c r="G19" i="10"/>
  <c r="G83" i="10"/>
  <c r="G147" i="10"/>
  <c r="G68" i="10"/>
  <c r="G132" i="10"/>
  <c r="G29" i="10"/>
  <c r="G93" i="10"/>
  <c r="G161" i="10"/>
  <c r="G50" i="10"/>
  <c r="G99" i="10"/>
  <c r="G45" i="10"/>
  <c r="G42" i="10"/>
  <c r="G169" i="10"/>
  <c r="G20" i="10"/>
  <c r="G109" i="10"/>
  <c r="G84" i="10"/>
  <c r="G35" i="10"/>
  <c r="G149" i="10"/>
  <c r="Q106" i="10"/>
  <c r="Q138" i="10"/>
  <c r="Q72" i="10"/>
  <c r="Q128" i="10"/>
  <c r="Q60" i="10"/>
  <c r="Q108" i="10"/>
  <c r="Q143" i="10"/>
  <c r="Q171" i="10"/>
  <c r="Q150" i="10"/>
  <c r="Q136" i="10"/>
  <c r="Q101" i="10"/>
  <c r="Q57" i="10"/>
  <c r="Q37" i="10"/>
  <c r="Q92" i="10"/>
  <c r="Q174" i="10"/>
  <c r="Q85" i="10"/>
  <c r="Q88" i="10"/>
  <c r="Q82" i="10"/>
  <c r="Q158" i="10"/>
  <c r="Q125" i="10"/>
  <c r="Q14" i="10"/>
  <c r="Q123" i="10"/>
  <c r="Q24" i="10"/>
  <c r="Q20" i="10"/>
  <c r="Q15" i="10"/>
  <c r="Q66" i="10"/>
  <c r="Q11" i="10"/>
  <c r="Q44" i="10"/>
  <c r="Q175" i="10"/>
  <c r="Q4" i="10"/>
  <c r="Q42" i="10"/>
  <c r="Q104" i="10"/>
  <c r="Q140" i="10"/>
  <c r="Q38" i="10"/>
  <c r="Q173" i="10"/>
  <c r="Q110" i="10"/>
  <c r="Q84" i="10"/>
  <c r="Q21" i="10"/>
  <c r="Q74" i="10"/>
  <c r="Q156" i="10"/>
  <c r="Q94" i="10"/>
  <c r="Q81" i="10"/>
  <c r="Q95" i="10"/>
  <c r="Q103" i="10"/>
  <c r="Q99" i="10"/>
  <c r="Q59" i="10"/>
  <c r="Q52" i="10"/>
  <c r="Q148" i="10"/>
  <c r="Q164" i="10"/>
  <c r="Q144" i="10"/>
  <c r="Q18" i="10"/>
  <c r="Q87" i="10"/>
  <c r="Q162" i="10"/>
  <c r="Q165" i="10"/>
  <c r="Q127" i="10"/>
  <c r="Q63" i="10"/>
  <c r="Q151" i="10"/>
  <c r="Q131" i="10"/>
  <c r="Q30" i="10"/>
  <c r="Q129" i="10"/>
  <c r="Q35" i="10"/>
  <c r="Q31" i="10"/>
  <c r="Q39" i="10"/>
  <c r="Q142" i="10"/>
  <c r="Q161" i="10"/>
  <c r="Q65" i="10"/>
  <c r="Q43" i="10"/>
  <c r="Q61" i="10"/>
  <c r="Q163" i="10"/>
  <c r="Q149" i="10"/>
  <c r="Q115" i="10"/>
  <c r="Q121" i="10"/>
  <c r="Q170" i="10"/>
  <c r="Q109" i="10"/>
  <c r="Q112" i="10"/>
  <c r="Q91" i="10"/>
  <c r="Q51" i="10"/>
  <c r="Q146" i="10"/>
  <c r="Q33" i="10"/>
  <c r="Q22" i="10"/>
  <c r="Q89" i="10"/>
  <c r="Q78" i="10"/>
  <c r="Q102" i="10"/>
  <c r="Q79" i="10"/>
  <c r="Q122" i="10"/>
  <c r="Q116" i="10"/>
  <c r="Q45" i="10"/>
  <c r="Q73" i="10"/>
  <c r="Q130" i="10"/>
  <c r="Q9" i="10"/>
  <c r="Q137" i="10"/>
  <c r="Q98" i="10"/>
  <c r="Q23" i="10"/>
  <c r="Q58" i="10"/>
  <c r="Q167" i="10"/>
  <c r="Q68" i="10"/>
  <c r="Q70" i="10"/>
  <c r="Y16" i="2"/>
  <c r="S17" i="2"/>
  <c r="N22" i="2"/>
  <c r="Y23" i="2"/>
  <c r="L23" i="2"/>
  <c r="M23" i="2" s="1"/>
  <c r="N23" i="2" s="1"/>
  <c r="R155" i="10" l="1"/>
  <c r="V155" i="10"/>
  <c r="T155" i="10"/>
  <c r="R134" i="10"/>
  <c r="T134" i="10"/>
  <c r="V134" i="10"/>
  <c r="R97" i="10"/>
  <c r="V97" i="10"/>
  <c r="T97" i="10"/>
  <c r="V135" i="10"/>
  <c r="R135" i="10"/>
  <c r="T135" i="10"/>
  <c r="V71" i="10"/>
  <c r="R71" i="10"/>
  <c r="T71" i="10"/>
  <c r="V7" i="10"/>
  <c r="T7" i="10"/>
  <c r="R7" i="10"/>
  <c r="R114" i="10"/>
  <c r="V114" i="10"/>
  <c r="T114" i="10"/>
  <c r="R50" i="10"/>
  <c r="T50" i="10"/>
  <c r="V50" i="10"/>
  <c r="R157" i="10"/>
  <c r="T157" i="10"/>
  <c r="V157" i="10"/>
  <c r="T93" i="10"/>
  <c r="V93" i="10"/>
  <c r="R93" i="10"/>
  <c r="T29" i="10"/>
  <c r="R29" i="10"/>
  <c r="V29" i="10"/>
  <c r="T28" i="10"/>
  <c r="R28" i="10"/>
  <c r="V28" i="10"/>
  <c r="R64" i="10"/>
  <c r="T64" i="10"/>
  <c r="V64" i="10"/>
  <c r="V48" i="10"/>
  <c r="T48" i="10"/>
  <c r="R48" i="10"/>
  <c r="R166" i="10"/>
  <c r="V166" i="10"/>
  <c r="T166" i="10"/>
  <c r="R145" i="10"/>
  <c r="T145" i="10"/>
  <c r="V145" i="10"/>
  <c r="T172" i="10"/>
  <c r="R172" i="10"/>
  <c r="V172" i="10"/>
  <c r="T147" i="10"/>
  <c r="R147" i="10"/>
  <c r="V147" i="10"/>
  <c r="T83" i="10"/>
  <c r="V83" i="10"/>
  <c r="R83" i="10"/>
  <c r="R19" i="10"/>
  <c r="V19" i="10"/>
  <c r="T19" i="10"/>
  <c r="V126" i="10"/>
  <c r="T126" i="10"/>
  <c r="R126" i="10"/>
  <c r="R62" i="10"/>
  <c r="V62" i="10"/>
  <c r="T62" i="10"/>
  <c r="V169" i="10"/>
  <c r="T169" i="10"/>
  <c r="R169" i="10"/>
  <c r="T105" i="10"/>
  <c r="V105" i="10"/>
  <c r="R105" i="10"/>
  <c r="T41" i="10"/>
  <c r="R41" i="10"/>
  <c r="V41" i="10"/>
  <c r="R76" i="10"/>
  <c r="V76" i="10"/>
  <c r="T76" i="10"/>
  <c r="V8" i="10"/>
  <c r="T8" i="10"/>
  <c r="R8" i="10"/>
  <c r="T160" i="10"/>
  <c r="V160" i="10"/>
  <c r="R160" i="10"/>
  <c r="R75" i="10"/>
  <c r="T75" i="10"/>
  <c r="V75" i="10"/>
  <c r="V54" i="10"/>
  <c r="T54" i="10"/>
  <c r="R54" i="10"/>
  <c r="V49" i="10"/>
  <c r="T49" i="10"/>
  <c r="R49" i="10"/>
  <c r="V40" i="10"/>
  <c r="T40" i="10"/>
  <c r="R40" i="10"/>
  <c r="R80" i="10"/>
  <c r="V80" i="10"/>
  <c r="T80" i="10"/>
  <c r="T111" i="10"/>
  <c r="V111" i="10"/>
  <c r="R111" i="10"/>
  <c r="R47" i="10"/>
  <c r="V47" i="10"/>
  <c r="T47" i="10"/>
  <c r="V154" i="10"/>
  <c r="T154" i="10"/>
  <c r="R154" i="10"/>
  <c r="T90" i="10"/>
  <c r="R90" i="10"/>
  <c r="V90" i="10"/>
  <c r="T26" i="10"/>
  <c r="R26" i="10"/>
  <c r="V26" i="10"/>
  <c r="T133" i="10"/>
  <c r="R133" i="10"/>
  <c r="V133" i="10"/>
  <c r="R69" i="10"/>
  <c r="V69" i="10"/>
  <c r="T69" i="10"/>
  <c r="T5" i="10"/>
  <c r="R5" i="10"/>
  <c r="V5" i="10"/>
  <c r="T120" i="10"/>
  <c r="R120" i="10"/>
  <c r="V120" i="10"/>
  <c r="T100" i="10"/>
  <c r="V100" i="10"/>
  <c r="R100" i="10"/>
  <c r="R107" i="10"/>
  <c r="V107" i="10"/>
  <c r="T107" i="10"/>
  <c r="R86" i="10"/>
  <c r="V86" i="10"/>
  <c r="T86" i="10"/>
  <c r="V108" i="10"/>
  <c r="R108" i="10"/>
  <c r="T108" i="10"/>
  <c r="V119" i="10"/>
  <c r="R119" i="10"/>
  <c r="T119" i="10"/>
  <c r="R55" i="10"/>
  <c r="V55" i="10"/>
  <c r="T55" i="10"/>
  <c r="R162" i="10"/>
  <c r="V162" i="10"/>
  <c r="T162" i="10"/>
  <c r="V98" i="10"/>
  <c r="T98" i="10"/>
  <c r="R98" i="10"/>
  <c r="R34" i="10"/>
  <c r="V34" i="10"/>
  <c r="T34" i="10"/>
  <c r="R141" i="10"/>
  <c r="V141" i="10"/>
  <c r="T141" i="10"/>
  <c r="T77" i="10"/>
  <c r="V77" i="10"/>
  <c r="R77" i="10"/>
  <c r="T13" i="10"/>
  <c r="R13" i="10"/>
  <c r="V13" i="10"/>
  <c r="V152" i="10"/>
  <c r="R152" i="10"/>
  <c r="T152" i="10"/>
  <c r="R132" i="10"/>
  <c r="T132" i="10"/>
  <c r="V132" i="10"/>
  <c r="R139" i="10"/>
  <c r="V139" i="10"/>
  <c r="T139" i="10"/>
  <c r="R118" i="10"/>
  <c r="T118" i="10"/>
  <c r="V118" i="10"/>
  <c r="R113" i="10"/>
  <c r="V113" i="10"/>
  <c r="T113" i="10"/>
  <c r="T168" i="10"/>
  <c r="R168" i="10"/>
  <c r="V168" i="10"/>
  <c r="T131" i="10"/>
  <c r="V131" i="10"/>
  <c r="R131" i="10"/>
  <c r="T67" i="10"/>
  <c r="V67" i="10"/>
  <c r="R67" i="10"/>
  <c r="R174" i="10"/>
  <c r="V174" i="10"/>
  <c r="T174" i="10"/>
  <c r="V110" i="10"/>
  <c r="T110" i="10"/>
  <c r="R110" i="10"/>
  <c r="R46" i="10"/>
  <c r="V46" i="10"/>
  <c r="T46" i="10"/>
  <c r="V153" i="10"/>
  <c r="T153" i="10"/>
  <c r="R153" i="10"/>
  <c r="V89" i="10"/>
  <c r="T89" i="10"/>
  <c r="R89" i="10"/>
  <c r="R25" i="10"/>
  <c r="V25" i="10"/>
  <c r="T25" i="10"/>
  <c r="V12" i="10"/>
  <c r="T12" i="10"/>
  <c r="R12" i="10"/>
  <c r="T32" i="10"/>
  <c r="V32" i="10"/>
  <c r="R32" i="10"/>
  <c r="V16" i="10"/>
  <c r="T16" i="10"/>
  <c r="R16" i="10"/>
  <c r="V27" i="10"/>
  <c r="R27" i="10"/>
  <c r="T27" i="10"/>
  <c r="R6" i="10"/>
  <c r="T6" i="10"/>
  <c r="V6" i="10"/>
  <c r="V17" i="10"/>
  <c r="T17" i="10"/>
  <c r="R17" i="10"/>
  <c r="R96" i="10"/>
  <c r="T96" i="10"/>
  <c r="V96" i="10"/>
  <c r="T159" i="10"/>
  <c r="R159" i="10"/>
  <c r="V159" i="10"/>
  <c r="T95" i="10"/>
  <c r="V95" i="10"/>
  <c r="R95" i="10"/>
  <c r="T31" i="10"/>
  <c r="V31" i="10"/>
  <c r="R31" i="10"/>
  <c r="T138" i="10"/>
  <c r="V138" i="10"/>
  <c r="R138" i="10"/>
  <c r="V74" i="10"/>
  <c r="R74" i="10"/>
  <c r="T74" i="10"/>
  <c r="V10" i="10"/>
  <c r="R10" i="10"/>
  <c r="T10" i="10"/>
  <c r="R117" i="10"/>
  <c r="T117" i="10"/>
  <c r="V117" i="10"/>
  <c r="V53" i="10"/>
  <c r="R53" i="10"/>
  <c r="T53" i="10"/>
  <c r="R124" i="10"/>
  <c r="T124" i="10"/>
  <c r="V124" i="10"/>
  <c r="V56" i="10"/>
  <c r="R56" i="10"/>
  <c r="T56" i="10"/>
  <c r="V36" i="10"/>
  <c r="R36" i="10"/>
  <c r="T36" i="10"/>
  <c r="Q147" i="10"/>
  <c r="W147" i="10" s="1"/>
  <c r="Q134" i="10"/>
  <c r="U134" i="10" s="1"/>
  <c r="Q145" i="10"/>
  <c r="V59" i="10"/>
  <c r="R59" i="10"/>
  <c r="T59" i="10"/>
  <c r="R38" i="10"/>
  <c r="V38" i="10"/>
  <c r="T38" i="10"/>
  <c r="T167" i="10"/>
  <c r="R167" i="10"/>
  <c r="V167" i="10"/>
  <c r="R103" i="10"/>
  <c r="V103" i="10"/>
  <c r="T103" i="10"/>
  <c r="R39" i="10"/>
  <c r="T39" i="10"/>
  <c r="V39" i="10"/>
  <c r="R146" i="10"/>
  <c r="V146" i="10"/>
  <c r="T146" i="10"/>
  <c r="R82" i="10"/>
  <c r="T82" i="10"/>
  <c r="V82" i="10"/>
  <c r="R18" i="10"/>
  <c r="V18" i="10"/>
  <c r="T18" i="10"/>
  <c r="R125" i="10"/>
  <c r="T125" i="10"/>
  <c r="V125" i="10"/>
  <c r="T61" i="10"/>
  <c r="V61" i="10"/>
  <c r="R61" i="10"/>
  <c r="R156" i="10"/>
  <c r="V156" i="10"/>
  <c r="T156" i="10"/>
  <c r="V88" i="10"/>
  <c r="R88" i="10"/>
  <c r="T88" i="10"/>
  <c r="V68" i="10"/>
  <c r="R68" i="10"/>
  <c r="T68" i="10"/>
  <c r="R91" i="10"/>
  <c r="V91" i="10"/>
  <c r="T91" i="10"/>
  <c r="V70" i="10"/>
  <c r="T70" i="10"/>
  <c r="R70" i="10"/>
  <c r="R65" i="10"/>
  <c r="V65" i="10"/>
  <c r="T65" i="10"/>
  <c r="R84" i="10"/>
  <c r="T84" i="10"/>
  <c r="V84" i="10"/>
  <c r="T115" i="10"/>
  <c r="R115" i="10"/>
  <c r="V115" i="10"/>
  <c r="R51" i="10"/>
  <c r="V51" i="10"/>
  <c r="T51" i="10"/>
  <c r="V158" i="10"/>
  <c r="R158" i="10"/>
  <c r="T158" i="10"/>
  <c r="R94" i="10"/>
  <c r="T94" i="10"/>
  <c r="V94" i="10"/>
  <c r="R30" i="10"/>
  <c r="V30" i="10"/>
  <c r="T30" i="10"/>
  <c r="R137" i="10"/>
  <c r="V137" i="10"/>
  <c r="T137" i="10"/>
  <c r="R73" i="10"/>
  <c r="V73" i="10"/>
  <c r="T73" i="10"/>
  <c r="T9" i="10"/>
  <c r="R9" i="10"/>
  <c r="V9" i="10"/>
  <c r="R136" i="10"/>
  <c r="V136" i="10"/>
  <c r="T136" i="10"/>
  <c r="V116" i="10"/>
  <c r="T116" i="10"/>
  <c r="R116" i="10"/>
  <c r="V171" i="10"/>
  <c r="R171" i="10"/>
  <c r="T171" i="10"/>
  <c r="R150" i="10"/>
  <c r="V150" i="10"/>
  <c r="T150" i="10"/>
  <c r="R129" i="10"/>
  <c r="T129" i="10"/>
  <c r="V129" i="10"/>
  <c r="T44" i="10"/>
  <c r="R44" i="10"/>
  <c r="V44" i="10"/>
  <c r="T148" i="10"/>
  <c r="R148" i="10"/>
  <c r="V148" i="10"/>
  <c r="T143" i="10"/>
  <c r="V143" i="10"/>
  <c r="R143" i="10"/>
  <c r="R79" i="10"/>
  <c r="V79" i="10"/>
  <c r="T79" i="10"/>
  <c r="T15" i="10"/>
  <c r="V15" i="10"/>
  <c r="R15" i="10"/>
  <c r="V122" i="10"/>
  <c r="R122" i="10"/>
  <c r="T122" i="10"/>
  <c r="R58" i="10"/>
  <c r="T58" i="10"/>
  <c r="V58" i="10"/>
  <c r="T165" i="10"/>
  <c r="R165" i="10"/>
  <c r="V165" i="10"/>
  <c r="V101" i="10"/>
  <c r="T101" i="10"/>
  <c r="R101" i="10"/>
  <c r="R37" i="10"/>
  <c r="T37" i="10"/>
  <c r="V37" i="10"/>
  <c r="R60" i="10"/>
  <c r="V60" i="10"/>
  <c r="T60" i="10"/>
  <c r="T144" i="10"/>
  <c r="V144" i="10"/>
  <c r="R144" i="10"/>
  <c r="R112" i="10"/>
  <c r="T112" i="10"/>
  <c r="V112" i="10"/>
  <c r="Q155" i="10"/>
  <c r="S155" i="10" s="1"/>
  <c r="Q41" i="10"/>
  <c r="U41" i="10" s="1"/>
  <c r="Q105" i="10"/>
  <c r="W105" i="10" s="1"/>
  <c r="V11" i="10"/>
  <c r="T11" i="10"/>
  <c r="R11" i="10"/>
  <c r="R161" i="10"/>
  <c r="T161" i="10"/>
  <c r="V161" i="10"/>
  <c r="R151" i="10"/>
  <c r="T151" i="10"/>
  <c r="V151" i="10"/>
  <c r="R87" i="10"/>
  <c r="T87" i="10"/>
  <c r="V87" i="10"/>
  <c r="V23" i="10"/>
  <c r="R23" i="10"/>
  <c r="T23" i="10"/>
  <c r="R130" i="10"/>
  <c r="T130" i="10"/>
  <c r="V130" i="10"/>
  <c r="R66" i="10"/>
  <c r="V66" i="10"/>
  <c r="T66" i="10"/>
  <c r="V173" i="10"/>
  <c r="R173" i="10"/>
  <c r="T173" i="10"/>
  <c r="R109" i="10"/>
  <c r="V109" i="10"/>
  <c r="T109" i="10"/>
  <c r="T45" i="10"/>
  <c r="R45" i="10"/>
  <c r="V45" i="10"/>
  <c r="V92" i="10"/>
  <c r="R92" i="10"/>
  <c r="T92" i="10"/>
  <c r="T24" i="10"/>
  <c r="V24" i="10"/>
  <c r="R24" i="10"/>
  <c r="T4" i="10"/>
  <c r="R4" i="10"/>
  <c r="V4" i="10"/>
  <c r="V43" i="10"/>
  <c r="R43" i="10"/>
  <c r="T43" i="10"/>
  <c r="R22" i="10"/>
  <c r="T22" i="10"/>
  <c r="V22" i="10"/>
  <c r="R33" i="10"/>
  <c r="T33" i="10"/>
  <c r="V33" i="10"/>
  <c r="T163" i="10"/>
  <c r="R163" i="10"/>
  <c r="V163" i="10"/>
  <c r="T99" i="10"/>
  <c r="R99" i="10"/>
  <c r="V99" i="10"/>
  <c r="T35" i="10"/>
  <c r="V35" i="10"/>
  <c r="R35" i="10"/>
  <c r="V142" i="10"/>
  <c r="T142" i="10"/>
  <c r="R142" i="10"/>
  <c r="R78" i="10"/>
  <c r="V78" i="10"/>
  <c r="T78" i="10"/>
  <c r="R14" i="10"/>
  <c r="T14" i="10"/>
  <c r="V14" i="10"/>
  <c r="R121" i="10"/>
  <c r="T121" i="10"/>
  <c r="V121" i="10"/>
  <c r="V57" i="10"/>
  <c r="R57" i="10"/>
  <c r="T57" i="10"/>
  <c r="R140" i="10"/>
  <c r="T140" i="10"/>
  <c r="V140" i="10"/>
  <c r="V72" i="10"/>
  <c r="T72" i="10"/>
  <c r="R72" i="10"/>
  <c r="R52" i="10"/>
  <c r="T52" i="10"/>
  <c r="V52" i="10"/>
  <c r="R123" i="10"/>
  <c r="V123" i="10"/>
  <c r="T123" i="10"/>
  <c r="R102" i="10"/>
  <c r="V102" i="10"/>
  <c r="T102" i="10"/>
  <c r="V81" i="10"/>
  <c r="T81" i="10"/>
  <c r="R81" i="10"/>
  <c r="V104" i="10"/>
  <c r="R104" i="10"/>
  <c r="T104" i="10"/>
  <c r="T20" i="10"/>
  <c r="V20" i="10"/>
  <c r="R20" i="10"/>
  <c r="T127" i="10"/>
  <c r="R127" i="10"/>
  <c r="V127" i="10"/>
  <c r="V63" i="10"/>
  <c r="R63" i="10"/>
  <c r="T63" i="10"/>
  <c r="R170" i="10"/>
  <c r="T170" i="10"/>
  <c r="V170" i="10"/>
  <c r="T106" i="10"/>
  <c r="R106" i="10"/>
  <c r="V106" i="10"/>
  <c r="V42" i="10"/>
  <c r="R42" i="10"/>
  <c r="T42" i="10"/>
  <c r="R149" i="10"/>
  <c r="V149" i="10"/>
  <c r="T149" i="10"/>
  <c r="R85" i="10"/>
  <c r="T85" i="10"/>
  <c r="V85" i="10"/>
  <c r="V21" i="10"/>
  <c r="T21" i="10"/>
  <c r="R21" i="10"/>
  <c r="T128" i="10"/>
  <c r="V128" i="10"/>
  <c r="R128" i="10"/>
  <c r="V164" i="10"/>
  <c r="R164" i="10"/>
  <c r="T164" i="10"/>
  <c r="T175" i="10"/>
  <c r="R175" i="10"/>
  <c r="V175" i="10"/>
  <c r="U137" i="10"/>
  <c r="W137" i="10"/>
  <c r="S137" i="10"/>
  <c r="U153" i="10"/>
  <c r="W153" i="10"/>
  <c r="S153" i="10"/>
  <c r="W126" i="10"/>
  <c r="S126" i="10"/>
  <c r="U126" i="10"/>
  <c r="S146" i="10"/>
  <c r="U146" i="10"/>
  <c r="W146" i="10"/>
  <c r="U109" i="10"/>
  <c r="S109" i="10"/>
  <c r="W109" i="10"/>
  <c r="S133" i="10"/>
  <c r="W133" i="10"/>
  <c r="U133" i="10"/>
  <c r="S12" i="10"/>
  <c r="U12" i="10"/>
  <c r="W12" i="10"/>
  <c r="S107" i="10"/>
  <c r="U107" i="10"/>
  <c r="W107" i="10"/>
  <c r="U166" i="10"/>
  <c r="W166" i="10"/>
  <c r="S166" i="10"/>
  <c r="W9" i="10"/>
  <c r="S9" i="10"/>
  <c r="U9" i="10"/>
  <c r="S45" i="10"/>
  <c r="U45" i="10"/>
  <c r="W45" i="10"/>
  <c r="W79" i="10"/>
  <c r="S79" i="10"/>
  <c r="U79" i="10"/>
  <c r="S157" i="10"/>
  <c r="W157" i="10"/>
  <c r="U157" i="10"/>
  <c r="S22" i="10"/>
  <c r="U22" i="10"/>
  <c r="W22" i="10"/>
  <c r="U135" i="10"/>
  <c r="S135" i="10"/>
  <c r="W135" i="10"/>
  <c r="W160" i="10"/>
  <c r="S160" i="10"/>
  <c r="U160" i="10"/>
  <c r="U149" i="10"/>
  <c r="S149" i="10"/>
  <c r="W149" i="10"/>
  <c r="W172" i="10"/>
  <c r="U172" i="10"/>
  <c r="S172" i="10"/>
  <c r="U169" i="10"/>
  <c r="S169" i="10"/>
  <c r="W169" i="10"/>
  <c r="U61" i="10"/>
  <c r="S61" i="10"/>
  <c r="W61" i="10"/>
  <c r="W83" i="10"/>
  <c r="S83" i="10"/>
  <c r="U83" i="10"/>
  <c r="S39" i="10"/>
  <c r="W39" i="10"/>
  <c r="U39" i="10"/>
  <c r="U26" i="10"/>
  <c r="W26" i="10"/>
  <c r="S26" i="10"/>
  <c r="W55" i="10"/>
  <c r="S55" i="10"/>
  <c r="U55" i="10"/>
  <c r="S118" i="10"/>
  <c r="W118" i="10"/>
  <c r="U118" i="10"/>
  <c r="W141" i="10"/>
  <c r="U141" i="10"/>
  <c r="S141" i="10"/>
  <c r="W127" i="10"/>
  <c r="S127" i="10"/>
  <c r="U127" i="10"/>
  <c r="U165" i="10"/>
  <c r="S165" i="10"/>
  <c r="W165" i="10"/>
  <c r="S162" i="10"/>
  <c r="U162" i="10"/>
  <c r="W162" i="10"/>
  <c r="S168" i="10"/>
  <c r="U168" i="10"/>
  <c r="W168" i="10"/>
  <c r="W148" i="10"/>
  <c r="S148" i="10"/>
  <c r="U148" i="10"/>
  <c r="U99" i="10"/>
  <c r="S99" i="10"/>
  <c r="W99" i="10"/>
  <c r="W95" i="10"/>
  <c r="U95" i="10"/>
  <c r="S95" i="10"/>
  <c r="U94" i="10"/>
  <c r="S94" i="10"/>
  <c r="W94" i="10"/>
  <c r="S110" i="10"/>
  <c r="W110" i="10"/>
  <c r="U110" i="10"/>
  <c r="W140" i="10"/>
  <c r="S140" i="10"/>
  <c r="U140" i="10"/>
  <c r="S124" i="10"/>
  <c r="U124" i="10"/>
  <c r="W124" i="10"/>
  <c r="U10" i="10"/>
  <c r="W10" i="10"/>
  <c r="S10" i="10"/>
  <c r="W15" i="10"/>
  <c r="U15" i="10"/>
  <c r="S15" i="10"/>
  <c r="U123" i="10"/>
  <c r="S123" i="10"/>
  <c r="W123" i="10"/>
  <c r="U86" i="10"/>
  <c r="S86" i="10"/>
  <c r="W86" i="10"/>
  <c r="U158" i="10"/>
  <c r="S158" i="10"/>
  <c r="W158" i="10"/>
  <c r="W174" i="10"/>
  <c r="S174" i="10"/>
  <c r="U174" i="10"/>
  <c r="W57" i="10"/>
  <c r="S57" i="10"/>
  <c r="U57" i="10"/>
  <c r="U171" i="10"/>
  <c r="S171" i="10"/>
  <c r="W171" i="10"/>
  <c r="S128" i="10"/>
  <c r="U128" i="10"/>
  <c r="W128" i="10"/>
  <c r="AE31" i="10"/>
  <c r="AC31" i="10"/>
  <c r="AA31" i="10"/>
  <c r="Z31" i="10"/>
  <c r="AC79" i="10"/>
  <c r="AE79" i="10"/>
  <c r="AA79" i="10"/>
  <c r="Z79" i="10"/>
  <c r="AC127" i="10"/>
  <c r="AE127" i="10"/>
  <c r="AA127" i="10"/>
  <c r="Z127" i="10"/>
  <c r="AC167" i="10"/>
  <c r="AE167" i="10"/>
  <c r="AA167" i="10"/>
  <c r="Z167" i="10"/>
  <c r="AC16" i="10"/>
  <c r="AA16" i="10"/>
  <c r="AE16" i="10"/>
  <c r="Z16" i="10"/>
  <c r="AC32" i="10"/>
  <c r="AA32" i="10"/>
  <c r="AE32" i="10"/>
  <c r="Z32" i="10"/>
  <c r="AE48" i="10"/>
  <c r="AA48" i="10"/>
  <c r="AC48" i="10"/>
  <c r="Z48" i="10"/>
  <c r="AA64" i="10"/>
  <c r="AE64" i="10"/>
  <c r="AC64" i="10"/>
  <c r="Z64" i="10"/>
  <c r="AC80" i="10"/>
  <c r="AE80" i="10"/>
  <c r="AA80" i="10"/>
  <c r="Z80" i="10"/>
  <c r="AA96" i="10"/>
  <c r="AE96" i="10"/>
  <c r="AC96" i="10"/>
  <c r="Z96" i="10"/>
  <c r="AC112" i="10"/>
  <c r="AE112" i="10"/>
  <c r="AA112" i="10"/>
  <c r="Z112" i="10"/>
  <c r="AA128" i="10"/>
  <c r="AE128" i="10"/>
  <c r="AC128" i="10"/>
  <c r="Z128" i="10"/>
  <c r="AC144" i="10"/>
  <c r="AA144" i="10"/>
  <c r="AE144" i="10"/>
  <c r="Z144" i="10"/>
  <c r="AE160" i="10"/>
  <c r="AA160" i="10"/>
  <c r="AC160" i="10"/>
  <c r="Z160" i="10"/>
  <c r="AA7" i="10"/>
  <c r="AC7" i="10"/>
  <c r="AE7" i="10"/>
  <c r="Z7" i="10"/>
  <c r="AA51" i="10"/>
  <c r="AE51" i="10"/>
  <c r="AC51" i="10"/>
  <c r="Z51" i="10"/>
  <c r="AE99" i="10"/>
  <c r="AC99" i="10"/>
  <c r="AA99" i="10"/>
  <c r="Z99" i="10"/>
  <c r="AC143" i="10"/>
  <c r="AE143" i="10"/>
  <c r="AA143" i="10"/>
  <c r="Z143" i="10"/>
  <c r="AE17" i="10"/>
  <c r="AA17" i="10"/>
  <c r="AC17" i="10"/>
  <c r="Z17" i="10"/>
  <c r="AE33" i="10"/>
  <c r="AC33" i="10"/>
  <c r="AA33" i="10"/>
  <c r="Z33" i="10"/>
  <c r="AC49" i="10"/>
  <c r="AE49" i="10"/>
  <c r="AA49" i="10"/>
  <c r="Z49" i="10"/>
  <c r="AA65" i="10"/>
  <c r="AC65" i="10"/>
  <c r="AE65" i="10"/>
  <c r="Z65" i="10"/>
  <c r="AE81" i="10"/>
  <c r="AC81" i="10"/>
  <c r="AA81" i="10"/>
  <c r="Z81" i="10"/>
  <c r="AA97" i="10"/>
  <c r="AE97" i="10"/>
  <c r="AC97" i="10"/>
  <c r="Z97" i="10"/>
  <c r="AC113" i="10"/>
  <c r="AE113" i="10"/>
  <c r="AA113" i="10"/>
  <c r="Z113" i="10"/>
  <c r="AE129" i="10"/>
  <c r="AC129" i="10"/>
  <c r="AA129" i="10"/>
  <c r="Z129" i="10"/>
  <c r="AC145" i="10"/>
  <c r="AE145" i="10"/>
  <c r="AA145" i="10"/>
  <c r="Z145" i="10"/>
  <c r="AC161" i="10"/>
  <c r="AE161" i="10"/>
  <c r="AA161" i="10"/>
  <c r="Z161" i="10"/>
  <c r="AC11" i="10"/>
  <c r="AA11" i="10"/>
  <c r="AE11" i="10"/>
  <c r="Z11" i="10"/>
  <c r="AA59" i="10"/>
  <c r="AC59" i="10"/>
  <c r="AE59" i="10"/>
  <c r="Z59" i="10"/>
  <c r="AE107" i="10"/>
  <c r="AC107" i="10"/>
  <c r="AA107" i="10"/>
  <c r="Z107" i="10"/>
  <c r="AE18" i="10"/>
  <c r="AC18" i="10"/>
  <c r="AA18" i="10"/>
  <c r="Z18" i="10"/>
  <c r="AA34" i="10"/>
  <c r="AC34" i="10"/>
  <c r="AE34" i="10"/>
  <c r="Z34" i="10"/>
  <c r="AC50" i="10"/>
  <c r="AA50" i="10"/>
  <c r="AE50" i="10"/>
  <c r="Z50" i="10"/>
  <c r="AE66" i="10"/>
  <c r="AC66" i="10"/>
  <c r="AA66" i="10"/>
  <c r="Z66" i="10"/>
  <c r="AC82" i="10"/>
  <c r="AA82" i="10"/>
  <c r="AE82" i="10"/>
  <c r="Z82" i="10"/>
  <c r="AC98" i="10"/>
  <c r="AA98" i="10"/>
  <c r="AE98" i="10"/>
  <c r="Z98" i="10"/>
  <c r="AC114" i="10"/>
  <c r="AE114" i="10"/>
  <c r="AA114" i="10"/>
  <c r="Z114" i="10"/>
  <c r="AC130" i="10"/>
  <c r="AA130" i="10"/>
  <c r="AE130" i="10"/>
  <c r="Z130" i="10"/>
  <c r="AE146" i="10"/>
  <c r="AC146" i="10"/>
  <c r="AA146" i="10"/>
  <c r="Z146" i="10"/>
  <c r="AA162" i="10"/>
  <c r="AC162" i="10"/>
  <c r="AE162" i="10"/>
  <c r="Z162" i="10"/>
  <c r="S98" i="10"/>
  <c r="U98" i="10"/>
  <c r="W98" i="10"/>
  <c r="S122" i="10"/>
  <c r="U122" i="10"/>
  <c r="W122" i="10"/>
  <c r="W89" i="10"/>
  <c r="U89" i="10"/>
  <c r="S89" i="10"/>
  <c r="U70" i="10"/>
  <c r="S70" i="10"/>
  <c r="W70" i="10"/>
  <c r="W58" i="10"/>
  <c r="S58" i="10"/>
  <c r="U58" i="10"/>
  <c r="U13" i="10"/>
  <c r="S13" i="10"/>
  <c r="W13" i="10"/>
  <c r="S130" i="10"/>
  <c r="W130" i="10"/>
  <c r="U130" i="10"/>
  <c r="W19" i="10"/>
  <c r="S19" i="10"/>
  <c r="U19" i="10"/>
  <c r="S102" i="10"/>
  <c r="W102" i="10"/>
  <c r="U102" i="10"/>
  <c r="W16" i="10"/>
  <c r="U16" i="10"/>
  <c r="S16" i="10"/>
  <c r="U33" i="10"/>
  <c r="S33" i="10"/>
  <c r="W33" i="10"/>
  <c r="W47" i="10"/>
  <c r="S47" i="10"/>
  <c r="U47" i="10"/>
  <c r="W152" i="10"/>
  <c r="S152" i="10"/>
  <c r="U152" i="10"/>
  <c r="U170" i="10"/>
  <c r="S170" i="10"/>
  <c r="W170" i="10"/>
  <c r="U48" i="10"/>
  <c r="S48" i="10"/>
  <c r="W48" i="10"/>
  <c r="W64" i="10"/>
  <c r="U64" i="10"/>
  <c r="S64" i="10"/>
  <c r="S8" i="10"/>
  <c r="W8" i="10"/>
  <c r="U8" i="10"/>
  <c r="S36" i="10"/>
  <c r="W36" i="10"/>
  <c r="U36" i="10"/>
  <c r="W65" i="10"/>
  <c r="S65" i="10"/>
  <c r="U65" i="10"/>
  <c r="W93" i="10"/>
  <c r="S93" i="10"/>
  <c r="U93" i="10"/>
  <c r="U129" i="10"/>
  <c r="W129" i="10"/>
  <c r="S129" i="10"/>
  <c r="U6" i="10"/>
  <c r="S6" i="10"/>
  <c r="W6" i="10"/>
  <c r="U113" i="10"/>
  <c r="W113" i="10"/>
  <c r="S113" i="10"/>
  <c r="W28" i="10"/>
  <c r="U28" i="10"/>
  <c r="S28" i="10"/>
  <c r="S32" i="10"/>
  <c r="W32" i="10"/>
  <c r="U32" i="10"/>
  <c r="S111" i="10"/>
  <c r="U111" i="10"/>
  <c r="W111" i="10"/>
  <c r="S29" i="10"/>
  <c r="W29" i="10"/>
  <c r="U29" i="10"/>
  <c r="U18" i="10"/>
  <c r="S18" i="10"/>
  <c r="W18" i="10"/>
  <c r="U139" i="10"/>
  <c r="W139" i="10"/>
  <c r="S139" i="10"/>
  <c r="U50" i="10"/>
  <c r="S50" i="10"/>
  <c r="W50" i="10"/>
  <c r="U114" i="10"/>
  <c r="W114" i="10"/>
  <c r="S114" i="10"/>
  <c r="W156" i="10"/>
  <c r="U156" i="10"/>
  <c r="S156" i="10"/>
  <c r="U84" i="10"/>
  <c r="S84" i="10"/>
  <c r="W84" i="10"/>
  <c r="S173" i="10"/>
  <c r="U173" i="10"/>
  <c r="W173" i="10"/>
  <c r="W104" i="10"/>
  <c r="S104" i="10"/>
  <c r="U104" i="10"/>
  <c r="U4" i="10"/>
  <c r="W4" i="10"/>
  <c r="S4" i="10"/>
  <c r="W53" i="10"/>
  <c r="U53" i="10"/>
  <c r="S53" i="10"/>
  <c r="S100" i="10"/>
  <c r="U100" i="10"/>
  <c r="W100" i="10"/>
  <c r="S14" i="10"/>
  <c r="W14" i="10"/>
  <c r="U14" i="10"/>
  <c r="W25" i="10"/>
  <c r="S25" i="10"/>
  <c r="U25" i="10"/>
  <c r="U82" i="10"/>
  <c r="S82" i="10"/>
  <c r="W82" i="10"/>
  <c r="U90" i="10"/>
  <c r="S90" i="10"/>
  <c r="W90" i="10"/>
  <c r="U92" i="10"/>
  <c r="S92" i="10"/>
  <c r="W92" i="10"/>
  <c r="S101" i="10"/>
  <c r="U101" i="10"/>
  <c r="W101" i="10"/>
  <c r="W143" i="10"/>
  <c r="U143" i="10"/>
  <c r="S143" i="10"/>
  <c r="W72" i="10"/>
  <c r="S72" i="10"/>
  <c r="U72" i="10"/>
  <c r="AC43" i="10"/>
  <c r="AA43" i="10"/>
  <c r="AE43" i="10"/>
  <c r="Z43" i="10"/>
  <c r="AA91" i="10"/>
  <c r="AE91" i="10"/>
  <c r="AC91" i="10"/>
  <c r="Z91" i="10"/>
  <c r="AA139" i="10"/>
  <c r="AC139" i="10"/>
  <c r="AE139" i="10"/>
  <c r="Z139" i="10"/>
  <c r="AA175" i="10"/>
  <c r="AE175" i="10"/>
  <c r="AC175" i="10"/>
  <c r="Z175" i="10"/>
  <c r="AE20" i="10"/>
  <c r="AC20" i="10"/>
  <c r="AA20" i="10"/>
  <c r="Z20" i="10"/>
  <c r="AA36" i="10"/>
  <c r="AE36" i="10"/>
  <c r="AC36" i="10"/>
  <c r="Z36" i="10"/>
  <c r="AC52" i="10"/>
  <c r="AA52" i="10"/>
  <c r="AE52" i="10"/>
  <c r="Z52" i="10"/>
  <c r="AC68" i="10"/>
  <c r="AE68" i="10"/>
  <c r="AA68" i="10"/>
  <c r="Z68" i="10"/>
  <c r="AC84" i="10"/>
  <c r="AA84" i="10"/>
  <c r="AE84" i="10"/>
  <c r="Z84" i="10"/>
  <c r="AC100" i="10"/>
  <c r="AA100" i="10"/>
  <c r="AE100" i="10"/>
  <c r="Z100" i="10"/>
  <c r="AC116" i="10"/>
  <c r="AA116" i="10"/>
  <c r="AE116" i="10"/>
  <c r="Z116" i="10"/>
  <c r="AC132" i="10"/>
  <c r="AE132" i="10"/>
  <c r="AA132" i="10"/>
  <c r="Z132" i="10"/>
  <c r="AE148" i="10"/>
  <c r="AA148" i="10"/>
  <c r="AC148" i="10"/>
  <c r="Z148" i="10"/>
  <c r="AA164" i="10"/>
  <c r="AE164" i="10"/>
  <c r="AC164" i="10"/>
  <c r="Z164" i="10"/>
  <c r="AE15" i="10"/>
  <c r="AA15" i="10"/>
  <c r="AC15" i="10"/>
  <c r="Z15" i="10"/>
  <c r="AC63" i="10"/>
  <c r="AE63" i="10"/>
  <c r="AA63" i="10"/>
  <c r="Z63" i="10"/>
  <c r="AC111" i="10"/>
  <c r="AE111" i="10"/>
  <c r="AA111" i="10"/>
  <c r="Z111" i="10"/>
  <c r="AC151" i="10"/>
  <c r="AA151" i="10"/>
  <c r="AE151" i="10"/>
  <c r="Z151" i="10"/>
  <c r="AA5" i="10"/>
  <c r="AE5" i="10"/>
  <c r="AC5" i="10"/>
  <c r="Z5" i="10"/>
  <c r="AE21" i="10"/>
  <c r="AC21" i="10"/>
  <c r="AA21" i="10"/>
  <c r="Z21" i="10"/>
  <c r="AC37" i="10"/>
  <c r="AE37" i="10"/>
  <c r="AA37" i="10"/>
  <c r="Z37" i="10"/>
  <c r="AA53" i="10"/>
  <c r="AE53" i="10"/>
  <c r="AC53" i="10"/>
  <c r="Z53" i="10"/>
  <c r="AE69" i="10"/>
  <c r="AC69" i="10"/>
  <c r="AA69" i="10"/>
  <c r="Z69" i="10"/>
  <c r="AC85" i="10"/>
  <c r="AA85" i="10"/>
  <c r="AE85" i="10"/>
  <c r="Z85" i="10"/>
  <c r="AA101" i="10"/>
  <c r="AC101" i="10"/>
  <c r="AE101" i="10"/>
  <c r="Z101" i="10"/>
  <c r="AE117" i="10"/>
  <c r="AA117" i="10"/>
  <c r="AC117" i="10"/>
  <c r="Z117" i="10"/>
  <c r="AA133" i="10"/>
  <c r="AE133" i="10"/>
  <c r="AC133" i="10"/>
  <c r="Z133" i="10"/>
  <c r="AC149" i="10"/>
  <c r="AA149" i="10"/>
  <c r="AE149" i="10"/>
  <c r="Z149" i="10"/>
  <c r="AE165" i="10"/>
  <c r="AA165" i="10"/>
  <c r="AC165" i="10"/>
  <c r="Z165" i="10"/>
  <c r="AC23" i="10"/>
  <c r="AE23" i="10"/>
  <c r="AA23" i="10"/>
  <c r="Z23" i="10"/>
  <c r="AA71" i="10"/>
  <c r="AE71" i="10"/>
  <c r="AC71" i="10"/>
  <c r="Z71" i="10"/>
  <c r="AE119" i="10"/>
  <c r="AC119" i="10"/>
  <c r="AA119" i="10"/>
  <c r="Z119" i="10"/>
  <c r="AA6" i="10"/>
  <c r="AE6" i="10"/>
  <c r="AC6" i="10"/>
  <c r="Z6" i="10"/>
  <c r="AA22" i="10"/>
  <c r="AE22" i="10"/>
  <c r="AC22" i="10"/>
  <c r="Z22" i="10"/>
  <c r="AC38" i="10"/>
  <c r="AA38" i="10"/>
  <c r="AE38" i="10"/>
  <c r="Z38" i="10"/>
  <c r="AA54" i="10"/>
  <c r="AC54" i="10"/>
  <c r="AE54" i="10"/>
  <c r="Z54" i="10"/>
  <c r="AE70" i="10"/>
  <c r="AA70" i="10"/>
  <c r="AC70" i="10"/>
  <c r="Z70" i="10"/>
  <c r="AE86" i="10"/>
  <c r="AA86" i="10"/>
  <c r="AC86" i="10"/>
  <c r="Z86" i="10"/>
  <c r="AE102" i="10"/>
  <c r="AA102" i="10"/>
  <c r="AC102" i="10"/>
  <c r="Z102" i="10"/>
  <c r="AE118" i="10"/>
  <c r="AA118" i="10"/>
  <c r="AC118" i="10"/>
  <c r="Z118" i="10"/>
  <c r="AA134" i="10"/>
  <c r="AC134" i="10"/>
  <c r="AE134" i="10"/>
  <c r="Z134" i="10"/>
  <c r="AE150" i="10"/>
  <c r="AC150" i="10"/>
  <c r="AA150" i="10"/>
  <c r="Z150" i="10"/>
  <c r="AA166" i="10"/>
  <c r="AE166" i="10"/>
  <c r="AC166" i="10"/>
  <c r="Z166" i="10"/>
  <c r="S23" i="10"/>
  <c r="W23" i="10"/>
  <c r="U23" i="10"/>
  <c r="W73" i="10"/>
  <c r="S73" i="10"/>
  <c r="U73" i="10"/>
  <c r="U116" i="10"/>
  <c r="W116" i="10"/>
  <c r="S116" i="10"/>
  <c r="W27" i="10"/>
  <c r="U27" i="10"/>
  <c r="S27" i="10"/>
  <c r="W69" i="10"/>
  <c r="U69" i="10"/>
  <c r="S69" i="10"/>
  <c r="S96" i="10"/>
  <c r="U96" i="10"/>
  <c r="W96" i="10"/>
  <c r="W51" i="10"/>
  <c r="S51" i="10"/>
  <c r="U51" i="10"/>
  <c r="U112" i="10"/>
  <c r="W112" i="10"/>
  <c r="S112" i="10"/>
  <c r="U121" i="10"/>
  <c r="W121" i="10"/>
  <c r="S121" i="10"/>
  <c r="S5" i="10"/>
  <c r="W5" i="10"/>
  <c r="U5" i="10"/>
  <c r="W159" i="10"/>
  <c r="S159" i="10"/>
  <c r="U159" i="10"/>
  <c r="U34" i="10"/>
  <c r="S34" i="10"/>
  <c r="W34" i="10"/>
  <c r="W132" i="10"/>
  <c r="S132" i="10"/>
  <c r="U132" i="10"/>
  <c r="U161" i="10"/>
  <c r="W161" i="10"/>
  <c r="S161" i="10"/>
  <c r="W31" i="10"/>
  <c r="U31" i="10"/>
  <c r="S31" i="10"/>
  <c r="S30" i="10"/>
  <c r="U30" i="10"/>
  <c r="W30" i="10"/>
  <c r="U76" i="10"/>
  <c r="W76" i="10"/>
  <c r="S76" i="10"/>
  <c r="W46" i="10"/>
  <c r="U46" i="10"/>
  <c r="S46" i="10"/>
  <c r="W63" i="10"/>
  <c r="U63" i="10"/>
  <c r="S63" i="10"/>
  <c r="W119" i="10"/>
  <c r="S119" i="10"/>
  <c r="U119" i="10"/>
  <c r="U56" i="10"/>
  <c r="W56" i="10"/>
  <c r="S56" i="10"/>
  <c r="W62" i="10"/>
  <c r="S62" i="10"/>
  <c r="U62" i="10"/>
  <c r="W144" i="10"/>
  <c r="S144" i="10"/>
  <c r="U144" i="10"/>
  <c r="W52" i="10"/>
  <c r="U52" i="10"/>
  <c r="S52" i="10"/>
  <c r="U103" i="10"/>
  <c r="S103" i="10"/>
  <c r="W103" i="10"/>
  <c r="S154" i="10"/>
  <c r="U154" i="10"/>
  <c r="W154" i="10"/>
  <c r="U74" i="10"/>
  <c r="W74" i="10"/>
  <c r="S74" i="10"/>
  <c r="W17" i="10"/>
  <c r="U17" i="10"/>
  <c r="S17" i="10"/>
  <c r="W7" i="10"/>
  <c r="S7" i="10"/>
  <c r="U7" i="10"/>
  <c r="U42" i="10"/>
  <c r="W42" i="10"/>
  <c r="S42" i="10"/>
  <c r="S175" i="10"/>
  <c r="W175" i="10"/>
  <c r="U175" i="10"/>
  <c r="W11" i="10"/>
  <c r="S11" i="10"/>
  <c r="U11" i="10"/>
  <c r="S20" i="10"/>
  <c r="W20" i="10"/>
  <c r="U20" i="10"/>
  <c r="U125" i="10"/>
  <c r="S125" i="10"/>
  <c r="W125" i="10"/>
  <c r="U75" i="10"/>
  <c r="S75" i="10"/>
  <c r="W75" i="10"/>
  <c r="W88" i="10"/>
  <c r="U88" i="10"/>
  <c r="S88" i="10"/>
  <c r="W97" i="10"/>
  <c r="S97" i="10"/>
  <c r="U97" i="10"/>
  <c r="W71" i="10"/>
  <c r="S71" i="10"/>
  <c r="U71" i="10"/>
  <c r="W136" i="10"/>
  <c r="S136" i="10"/>
  <c r="U136" i="10"/>
  <c r="U108" i="10"/>
  <c r="W108" i="10"/>
  <c r="S108" i="10"/>
  <c r="U138" i="10"/>
  <c r="S138" i="10"/>
  <c r="W138" i="10"/>
  <c r="AC4" i="10"/>
  <c r="AA4" i="10"/>
  <c r="AE4" i="10"/>
  <c r="Z4" i="10"/>
  <c r="AC55" i="10"/>
  <c r="AE55" i="10"/>
  <c r="AA55" i="10"/>
  <c r="Z55" i="10"/>
  <c r="AA103" i="10"/>
  <c r="AE103" i="10"/>
  <c r="AC103" i="10"/>
  <c r="Z103" i="10"/>
  <c r="AC147" i="10"/>
  <c r="AE147" i="10"/>
  <c r="AA147" i="10"/>
  <c r="Z147" i="10"/>
  <c r="AE8" i="10"/>
  <c r="AC8" i="10"/>
  <c r="AA8" i="10"/>
  <c r="Z8" i="10"/>
  <c r="AE24" i="10"/>
  <c r="AC24" i="10"/>
  <c r="AA24" i="10"/>
  <c r="Z24" i="10"/>
  <c r="AE40" i="10"/>
  <c r="AA40" i="10"/>
  <c r="AC40" i="10"/>
  <c r="Z40" i="10"/>
  <c r="AE56" i="10"/>
  <c r="AC56" i="10"/>
  <c r="AA56" i="10"/>
  <c r="Z56" i="10"/>
  <c r="AA72" i="10"/>
  <c r="AE72" i="10"/>
  <c r="AC72" i="10"/>
  <c r="Z72" i="10"/>
  <c r="AA88" i="10"/>
  <c r="AC88" i="10"/>
  <c r="AE88" i="10"/>
  <c r="Z88" i="10"/>
  <c r="AA104" i="10"/>
  <c r="AC104" i="10"/>
  <c r="AE104" i="10"/>
  <c r="Z104" i="10"/>
  <c r="AA120" i="10"/>
  <c r="AC120" i="10"/>
  <c r="AE120" i="10"/>
  <c r="Z120" i="10"/>
  <c r="AA136" i="10"/>
  <c r="AE136" i="10"/>
  <c r="AC136" i="10"/>
  <c r="Z136" i="10"/>
  <c r="AC152" i="10"/>
  <c r="AA152" i="10"/>
  <c r="AE152" i="10"/>
  <c r="Z152" i="10"/>
  <c r="AC168" i="10"/>
  <c r="AA168" i="10"/>
  <c r="AE168" i="10"/>
  <c r="Z168" i="10"/>
  <c r="AC27" i="10"/>
  <c r="AA27" i="10"/>
  <c r="AE27" i="10"/>
  <c r="Z27" i="10"/>
  <c r="AE75" i="10"/>
  <c r="AC75" i="10"/>
  <c r="AA75" i="10"/>
  <c r="Z75" i="10"/>
  <c r="AA123" i="10"/>
  <c r="AE123" i="10"/>
  <c r="AC123" i="10"/>
  <c r="Z123" i="10"/>
  <c r="AC163" i="10"/>
  <c r="AE163" i="10"/>
  <c r="AA163" i="10"/>
  <c r="Z163" i="10"/>
  <c r="AA9" i="10"/>
  <c r="AE9" i="10"/>
  <c r="AC9" i="10"/>
  <c r="Z9" i="10"/>
  <c r="AE25" i="10"/>
  <c r="AA25" i="10"/>
  <c r="AC25" i="10"/>
  <c r="Z25" i="10"/>
  <c r="AA41" i="10"/>
  <c r="AE41" i="10"/>
  <c r="AC41" i="10"/>
  <c r="Z41" i="10"/>
  <c r="AC57" i="10"/>
  <c r="AA57" i="10"/>
  <c r="AE57" i="10"/>
  <c r="Z57" i="10"/>
  <c r="AC73" i="10"/>
  <c r="AE73" i="10"/>
  <c r="AA73" i="10"/>
  <c r="Z73" i="10"/>
  <c r="AA89" i="10"/>
  <c r="AC89" i="10"/>
  <c r="AE89" i="10"/>
  <c r="Z89" i="10"/>
  <c r="AC105" i="10"/>
  <c r="AE105" i="10"/>
  <c r="AA105" i="10"/>
  <c r="Z105" i="10"/>
  <c r="AE121" i="10"/>
  <c r="AC121" i="10"/>
  <c r="AA121" i="10"/>
  <c r="Z121" i="10"/>
  <c r="AC137" i="10"/>
  <c r="AA137" i="10"/>
  <c r="AE137" i="10"/>
  <c r="Z137" i="10"/>
  <c r="AA153" i="10"/>
  <c r="AC153" i="10"/>
  <c r="AE153" i="10"/>
  <c r="Z153" i="10"/>
  <c r="AA169" i="10"/>
  <c r="AC169" i="10"/>
  <c r="AE169" i="10"/>
  <c r="Z169" i="10"/>
  <c r="AA35" i="10"/>
  <c r="AC35" i="10"/>
  <c r="AE35" i="10"/>
  <c r="Z35" i="10"/>
  <c r="AE83" i="10"/>
  <c r="AA83" i="10"/>
  <c r="AC83" i="10"/>
  <c r="Z83" i="10"/>
  <c r="AC131" i="10"/>
  <c r="AA131" i="10"/>
  <c r="AE131" i="10"/>
  <c r="Z131" i="10"/>
  <c r="AC10" i="10"/>
  <c r="AE10" i="10"/>
  <c r="AA10" i="10"/>
  <c r="Z10" i="10"/>
  <c r="AE26" i="10"/>
  <c r="AC26" i="10"/>
  <c r="AA26" i="10"/>
  <c r="Z26" i="10"/>
  <c r="AC42" i="10"/>
  <c r="AA42" i="10"/>
  <c r="AE42" i="10"/>
  <c r="Z42" i="10"/>
  <c r="AE58" i="10"/>
  <c r="AC58" i="10"/>
  <c r="AA58" i="10"/>
  <c r="Z58" i="10"/>
  <c r="AA74" i="10"/>
  <c r="AE74" i="10"/>
  <c r="AC74" i="10"/>
  <c r="Z74" i="10"/>
  <c r="AA90" i="10"/>
  <c r="AC90" i="10"/>
  <c r="AE90" i="10"/>
  <c r="Z90" i="10"/>
  <c r="AC106" i="10"/>
  <c r="AE106" i="10"/>
  <c r="AA106" i="10"/>
  <c r="Z106" i="10"/>
  <c r="AC122" i="10"/>
  <c r="AA122" i="10"/>
  <c r="AE122" i="10"/>
  <c r="Z122" i="10"/>
  <c r="AE138" i="10"/>
  <c r="AC138" i="10"/>
  <c r="AA138" i="10"/>
  <c r="Z138" i="10"/>
  <c r="AC154" i="10"/>
  <c r="AE154" i="10"/>
  <c r="AA154" i="10"/>
  <c r="Z154" i="10"/>
  <c r="AE170" i="10"/>
  <c r="AA170" i="10"/>
  <c r="AC170" i="10"/>
  <c r="Z170" i="10"/>
  <c r="U68" i="10"/>
  <c r="S68" i="10"/>
  <c r="W68" i="10"/>
  <c r="U167" i="10"/>
  <c r="S167" i="10"/>
  <c r="W167" i="10"/>
  <c r="S78" i="10"/>
  <c r="W78" i="10"/>
  <c r="U78" i="10"/>
  <c r="S91" i="10"/>
  <c r="U91" i="10"/>
  <c r="W91" i="10"/>
  <c r="U115" i="10"/>
  <c r="W115" i="10"/>
  <c r="S115" i="10"/>
  <c r="U80" i="10"/>
  <c r="S80" i="10"/>
  <c r="W80" i="10"/>
  <c r="W163" i="10"/>
  <c r="S163" i="10"/>
  <c r="U163" i="10"/>
  <c r="S43" i="10"/>
  <c r="U43" i="10"/>
  <c r="W43" i="10"/>
  <c r="U142" i="10"/>
  <c r="S142" i="10"/>
  <c r="W142" i="10"/>
  <c r="W35" i="10"/>
  <c r="U35" i="10"/>
  <c r="S35" i="10"/>
  <c r="U131" i="10"/>
  <c r="W131" i="10"/>
  <c r="S131" i="10"/>
  <c r="W151" i="10"/>
  <c r="U151" i="10"/>
  <c r="S151" i="10"/>
  <c r="S147" i="10"/>
  <c r="W67" i="10"/>
  <c r="S67" i="10"/>
  <c r="U67" i="10"/>
  <c r="S120" i="10"/>
  <c r="U120" i="10"/>
  <c r="W120" i="10"/>
  <c r="U49" i="10"/>
  <c r="W49" i="10"/>
  <c r="S49" i="10"/>
  <c r="U87" i="10"/>
  <c r="S87" i="10"/>
  <c r="W87" i="10"/>
  <c r="W164" i="10"/>
  <c r="S164" i="10"/>
  <c r="U164" i="10"/>
  <c r="W59" i="10"/>
  <c r="U59" i="10"/>
  <c r="S59" i="10"/>
  <c r="S77" i="10"/>
  <c r="U77" i="10"/>
  <c r="W77" i="10"/>
  <c r="U81" i="10"/>
  <c r="S81" i="10"/>
  <c r="W81" i="10"/>
  <c r="W21" i="10"/>
  <c r="U21" i="10"/>
  <c r="S21" i="10"/>
  <c r="U38" i="10"/>
  <c r="S38" i="10"/>
  <c r="W38" i="10"/>
  <c r="W117" i="10"/>
  <c r="U117" i="10"/>
  <c r="S117" i="10"/>
  <c r="S44" i="10"/>
  <c r="U44" i="10"/>
  <c r="W44" i="10"/>
  <c r="U66" i="10"/>
  <c r="S66" i="10"/>
  <c r="W66" i="10"/>
  <c r="U24" i="10"/>
  <c r="S24" i="10"/>
  <c r="W24" i="10"/>
  <c r="U40" i="10"/>
  <c r="W40" i="10"/>
  <c r="S40" i="10"/>
  <c r="U145" i="10"/>
  <c r="W145" i="10"/>
  <c r="S145" i="10"/>
  <c r="W85" i="10"/>
  <c r="U85" i="10"/>
  <c r="S85" i="10"/>
  <c r="U54" i="10"/>
  <c r="S54" i="10"/>
  <c r="W54" i="10"/>
  <c r="W37" i="10"/>
  <c r="U37" i="10"/>
  <c r="S37" i="10"/>
  <c r="S150" i="10"/>
  <c r="U150" i="10"/>
  <c r="W150" i="10"/>
  <c r="S60" i="10"/>
  <c r="U60" i="10"/>
  <c r="W60" i="10"/>
  <c r="W106" i="10"/>
  <c r="U106" i="10"/>
  <c r="S106" i="10"/>
  <c r="AE19" i="10"/>
  <c r="AA19" i="10"/>
  <c r="AC19" i="10"/>
  <c r="Z19" i="10"/>
  <c r="AE67" i="10"/>
  <c r="AC67" i="10"/>
  <c r="AA67" i="10"/>
  <c r="Z67" i="10"/>
  <c r="AE115" i="10"/>
  <c r="AC115" i="10"/>
  <c r="AA115" i="10"/>
  <c r="Z115" i="10"/>
  <c r="AA155" i="10"/>
  <c r="AE155" i="10"/>
  <c r="AC155" i="10"/>
  <c r="Z155" i="10"/>
  <c r="AE12" i="10"/>
  <c r="AC12" i="10"/>
  <c r="AA12" i="10"/>
  <c r="Z12" i="10"/>
  <c r="AA28" i="10"/>
  <c r="AC28" i="10"/>
  <c r="AE28" i="10"/>
  <c r="Z28" i="10"/>
  <c r="AA44" i="10"/>
  <c r="AC44" i="10"/>
  <c r="AE44" i="10"/>
  <c r="Z44" i="10"/>
  <c r="AA60" i="10"/>
  <c r="AE60" i="10"/>
  <c r="AC60" i="10"/>
  <c r="Z60" i="10"/>
  <c r="AE76" i="10"/>
  <c r="AA76" i="10"/>
  <c r="AC76" i="10"/>
  <c r="Z76" i="10"/>
  <c r="AE92" i="10"/>
  <c r="AC92" i="10"/>
  <c r="AA92" i="10"/>
  <c r="Z92" i="10"/>
  <c r="AC108" i="10"/>
  <c r="AA108" i="10"/>
  <c r="AE108" i="10"/>
  <c r="Z108" i="10"/>
  <c r="AA124" i="10"/>
  <c r="AC124" i="10"/>
  <c r="AE124" i="10"/>
  <c r="Z124" i="10"/>
  <c r="AC140" i="10"/>
  <c r="AE140" i="10"/>
  <c r="AA140" i="10"/>
  <c r="Z140" i="10"/>
  <c r="AE156" i="10"/>
  <c r="AA156" i="10"/>
  <c r="AC156" i="10"/>
  <c r="Z156" i="10"/>
  <c r="AC172" i="10"/>
  <c r="AE172" i="10"/>
  <c r="AA172" i="10"/>
  <c r="Z172" i="10"/>
  <c r="AE39" i="10"/>
  <c r="AA39" i="10"/>
  <c r="AC39" i="10"/>
  <c r="Z39" i="10"/>
  <c r="AA87" i="10"/>
  <c r="AE87" i="10"/>
  <c r="AC87" i="10"/>
  <c r="Z87" i="10"/>
  <c r="AE135" i="10"/>
  <c r="AA135" i="10"/>
  <c r="AC135" i="10"/>
  <c r="Z135" i="10"/>
  <c r="AA171" i="10"/>
  <c r="AE171" i="10"/>
  <c r="AC171" i="10"/>
  <c r="Z171" i="10"/>
  <c r="AC13" i="10"/>
  <c r="AA13" i="10"/>
  <c r="AE13" i="10"/>
  <c r="Z13" i="10"/>
  <c r="AE29" i="10"/>
  <c r="AC29" i="10"/>
  <c r="AA29" i="10"/>
  <c r="Z29" i="10"/>
  <c r="AA45" i="10"/>
  <c r="AC45" i="10"/>
  <c r="AE45" i="10"/>
  <c r="Z45" i="10"/>
  <c r="AA61" i="10"/>
  <c r="AC61" i="10"/>
  <c r="AE61" i="10"/>
  <c r="Z61" i="10"/>
  <c r="AC77" i="10"/>
  <c r="AE77" i="10"/>
  <c r="AA77" i="10"/>
  <c r="Z77" i="10"/>
  <c r="AC93" i="10"/>
  <c r="AE93" i="10"/>
  <c r="AA93" i="10"/>
  <c r="Z93" i="10"/>
  <c r="AA109" i="10"/>
  <c r="AC109" i="10"/>
  <c r="AE109" i="10"/>
  <c r="Z109" i="10"/>
  <c r="AC125" i="10"/>
  <c r="AA125" i="10"/>
  <c r="AE125" i="10"/>
  <c r="Z125" i="10"/>
  <c r="AC141" i="10"/>
  <c r="AE141" i="10"/>
  <c r="AA141" i="10"/>
  <c r="Z141" i="10"/>
  <c r="AE157" i="10"/>
  <c r="AA157" i="10"/>
  <c r="AC157" i="10"/>
  <c r="Z157" i="10"/>
  <c r="AE173" i="10"/>
  <c r="AC173" i="10"/>
  <c r="AA173" i="10"/>
  <c r="Z173" i="10"/>
  <c r="AA47" i="10"/>
  <c r="AE47" i="10"/>
  <c r="AC47" i="10"/>
  <c r="Z47" i="10"/>
  <c r="AC95" i="10"/>
  <c r="AE95" i="10"/>
  <c r="AA95" i="10"/>
  <c r="Z95" i="10"/>
  <c r="AE159" i="10"/>
  <c r="AC159" i="10"/>
  <c r="AA159" i="10"/>
  <c r="Z159" i="10"/>
  <c r="AC14" i="10"/>
  <c r="AE14" i="10"/>
  <c r="AA14" i="10"/>
  <c r="Z14" i="10"/>
  <c r="AC30" i="10"/>
  <c r="AE30" i="10"/>
  <c r="AA30" i="10"/>
  <c r="Z30" i="10"/>
  <c r="AE46" i="10"/>
  <c r="AA46" i="10"/>
  <c r="AC46" i="10"/>
  <c r="Z46" i="10"/>
  <c r="AE62" i="10"/>
  <c r="AA62" i="10"/>
  <c r="AC62" i="10"/>
  <c r="Z62" i="10"/>
  <c r="AA78" i="10"/>
  <c r="AE78" i="10"/>
  <c r="AC78" i="10"/>
  <c r="Z78" i="10"/>
  <c r="AA94" i="10"/>
  <c r="AE94" i="10"/>
  <c r="AC94" i="10"/>
  <c r="Z94" i="10"/>
  <c r="AE110" i="10"/>
  <c r="AA110" i="10"/>
  <c r="AC110" i="10"/>
  <c r="Z110" i="10"/>
  <c r="AE126" i="10"/>
  <c r="AC126" i="10"/>
  <c r="AA126" i="10"/>
  <c r="Z126" i="10"/>
  <c r="AE142" i="10"/>
  <c r="AC142" i="10"/>
  <c r="AA142" i="10"/>
  <c r="Z142" i="10"/>
  <c r="AC158" i="10"/>
  <c r="AA158" i="10"/>
  <c r="AE158" i="10"/>
  <c r="Z158" i="10"/>
  <c r="AA174" i="10"/>
  <c r="AC174" i="10"/>
  <c r="AE174" i="10"/>
  <c r="Z174" i="10"/>
  <c r="H130" i="10"/>
  <c r="M130" i="10"/>
  <c r="K130" i="10"/>
  <c r="I130" i="10"/>
  <c r="H110" i="10"/>
  <c r="K110" i="10"/>
  <c r="I110" i="10"/>
  <c r="M110" i="10"/>
  <c r="H154" i="10"/>
  <c r="M154" i="10"/>
  <c r="K154" i="10"/>
  <c r="I154" i="10"/>
  <c r="H38" i="10"/>
  <c r="M38" i="10"/>
  <c r="I38" i="10"/>
  <c r="K38" i="10"/>
  <c r="H149" i="10"/>
  <c r="K149" i="10"/>
  <c r="I149" i="10"/>
  <c r="M149" i="10"/>
  <c r="H117" i="10"/>
  <c r="M117" i="10"/>
  <c r="I117" i="10"/>
  <c r="K117" i="10"/>
  <c r="H69" i="10"/>
  <c r="K69" i="10"/>
  <c r="I69" i="10"/>
  <c r="M69" i="10"/>
  <c r="H37" i="10"/>
  <c r="K37" i="10"/>
  <c r="I37" i="10"/>
  <c r="M37" i="10"/>
  <c r="H160" i="10"/>
  <c r="K160" i="10"/>
  <c r="M160" i="10"/>
  <c r="I160" i="10"/>
  <c r="H128" i="10"/>
  <c r="I128" i="10"/>
  <c r="M128" i="10"/>
  <c r="K128" i="10"/>
  <c r="H80" i="10"/>
  <c r="M80" i="10"/>
  <c r="I80" i="10"/>
  <c r="K80" i="10"/>
  <c r="H48" i="10"/>
  <c r="M48" i="10"/>
  <c r="I48" i="10"/>
  <c r="K48" i="10"/>
  <c r="H16" i="10"/>
  <c r="I16" i="10"/>
  <c r="K16" i="10"/>
  <c r="M16" i="10"/>
  <c r="H155" i="10"/>
  <c r="K155" i="10"/>
  <c r="I155" i="10"/>
  <c r="M155" i="10"/>
  <c r="H107" i="10"/>
  <c r="M107" i="10"/>
  <c r="I107" i="10"/>
  <c r="K107" i="10"/>
  <c r="H75" i="10"/>
  <c r="K75" i="10"/>
  <c r="M75" i="10"/>
  <c r="I75" i="10"/>
  <c r="H59" i="10"/>
  <c r="K59" i="10"/>
  <c r="M59" i="10"/>
  <c r="I59" i="10"/>
  <c r="H11" i="10"/>
  <c r="K11" i="10"/>
  <c r="M11" i="10"/>
  <c r="I11" i="10"/>
  <c r="H150" i="10"/>
  <c r="I150" i="10"/>
  <c r="M150" i="10"/>
  <c r="K150" i="10"/>
  <c r="H114" i="10"/>
  <c r="K114" i="10"/>
  <c r="I114" i="10"/>
  <c r="M114" i="10"/>
  <c r="H50" i="10"/>
  <c r="M50" i="10"/>
  <c r="I50" i="10"/>
  <c r="K50" i="10"/>
  <c r="H158" i="10"/>
  <c r="K158" i="10"/>
  <c r="I158" i="10"/>
  <c r="M158" i="10"/>
  <c r="H94" i="10"/>
  <c r="M94" i="10"/>
  <c r="I94" i="10"/>
  <c r="K94" i="10"/>
  <c r="H30" i="10"/>
  <c r="M30" i="10"/>
  <c r="I30" i="10"/>
  <c r="K30" i="10"/>
  <c r="H138" i="10"/>
  <c r="M138" i="10"/>
  <c r="K138" i="10"/>
  <c r="I138" i="10"/>
  <c r="H74" i="10"/>
  <c r="M74" i="10"/>
  <c r="I74" i="10"/>
  <c r="K74" i="10"/>
  <c r="H10" i="10"/>
  <c r="M10" i="10"/>
  <c r="I10" i="10"/>
  <c r="K10" i="10"/>
  <c r="H86" i="10"/>
  <c r="M86" i="10"/>
  <c r="I86" i="10"/>
  <c r="K86" i="10"/>
  <c r="H22" i="10"/>
  <c r="M22" i="10"/>
  <c r="I22" i="10"/>
  <c r="K22" i="10"/>
  <c r="H161" i="10"/>
  <c r="M161" i="10"/>
  <c r="I161" i="10"/>
  <c r="K161" i="10"/>
  <c r="H145" i="10"/>
  <c r="M145" i="10"/>
  <c r="K145" i="10"/>
  <c r="I145" i="10"/>
  <c r="H129" i="10"/>
  <c r="M129" i="10"/>
  <c r="K129" i="10"/>
  <c r="I129" i="10"/>
  <c r="H113" i="10"/>
  <c r="M113" i="10"/>
  <c r="I113" i="10"/>
  <c r="K113" i="10"/>
  <c r="H97" i="10"/>
  <c r="K97" i="10"/>
  <c r="M97" i="10"/>
  <c r="I97" i="10"/>
  <c r="H81" i="10"/>
  <c r="K81" i="10"/>
  <c r="I81" i="10"/>
  <c r="M81" i="10"/>
  <c r="H65" i="10"/>
  <c r="K65" i="10"/>
  <c r="I65" i="10"/>
  <c r="M65" i="10"/>
  <c r="H49" i="10"/>
  <c r="K49" i="10"/>
  <c r="I49" i="10"/>
  <c r="M49" i="10"/>
  <c r="H33" i="10"/>
  <c r="K33" i="10"/>
  <c r="I33" i="10"/>
  <c r="M33" i="10"/>
  <c r="H17" i="10"/>
  <c r="M17" i="10"/>
  <c r="K17" i="10"/>
  <c r="I17" i="10"/>
  <c r="H172" i="10"/>
  <c r="K172" i="10"/>
  <c r="M172" i="10"/>
  <c r="I172" i="10"/>
  <c r="H156" i="10"/>
  <c r="K156" i="10"/>
  <c r="I156" i="10"/>
  <c r="M156" i="10"/>
  <c r="H140" i="10"/>
  <c r="K140" i="10"/>
  <c r="I140" i="10"/>
  <c r="M140" i="10"/>
  <c r="H124" i="10"/>
  <c r="K124" i="10"/>
  <c r="I124" i="10"/>
  <c r="M124" i="10"/>
  <c r="H108" i="10"/>
  <c r="K108" i="10"/>
  <c r="M108" i="10"/>
  <c r="I108" i="10"/>
  <c r="H92" i="10"/>
  <c r="M92" i="10"/>
  <c r="I92" i="10"/>
  <c r="K92" i="10"/>
  <c r="H76" i="10"/>
  <c r="M76" i="10"/>
  <c r="I76" i="10"/>
  <c r="K76" i="10"/>
  <c r="H60" i="10"/>
  <c r="M60" i="10"/>
  <c r="I60" i="10"/>
  <c r="K60" i="10"/>
  <c r="H44" i="10"/>
  <c r="M44" i="10"/>
  <c r="I44" i="10"/>
  <c r="K44" i="10"/>
  <c r="H28" i="10"/>
  <c r="M28" i="10"/>
  <c r="I28" i="10"/>
  <c r="K28" i="10"/>
  <c r="H12" i="10"/>
  <c r="M12" i="10"/>
  <c r="I12" i="10"/>
  <c r="K12" i="10"/>
  <c r="H167" i="10"/>
  <c r="M167" i="10"/>
  <c r="I167" i="10"/>
  <c r="K167" i="10"/>
  <c r="H151" i="10"/>
  <c r="I151" i="10"/>
  <c r="M151" i="10"/>
  <c r="K151" i="10"/>
  <c r="H135" i="10"/>
  <c r="I135" i="10"/>
  <c r="M135" i="10"/>
  <c r="K135" i="10"/>
  <c r="H119" i="10"/>
  <c r="M119" i="10"/>
  <c r="I119" i="10"/>
  <c r="K119" i="10"/>
  <c r="H103" i="10"/>
  <c r="M103" i="10"/>
  <c r="I103" i="10"/>
  <c r="K103" i="10"/>
  <c r="H87" i="10"/>
  <c r="K87" i="10"/>
  <c r="M87" i="10"/>
  <c r="I87" i="10"/>
  <c r="H71" i="10"/>
  <c r="K71" i="10"/>
  <c r="M71" i="10"/>
  <c r="I71" i="10"/>
  <c r="H55" i="10"/>
  <c r="K55" i="10"/>
  <c r="M55" i="10"/>
  <c r="I55" i="10"/>
  <c r="H39" i="10"/>
  <c r="K39" i="10"/>
  <c r="M39" i="10"/>
  <c r="I39" i="10"/>
  <c r="H23" i="10"/>
  <c r="K23" i="10"/>
  <c r="M23" i="10"/>
  <c r="I23" i="10"/>
  <c r="H8" i="10"/>
  <c r="K8" i="10"/>
  <c r="I8" i="10"/>
  <c r="M8" i="10"/>
  <c r="H66" i="10"/>
  <c r="M66" i="10"/>
  <c r="I66" i="10"/>
  <c r="K66" i="10"/>
  <c r="H46" i="10"/>
  <c r="M46" i="10"/>
  <c r="I46" i="10"/>
  <c r="K46" i="10"/>
  <c r="H26" i="10"/>
  <c r="M26" i="10"/>
  <c r="I26" i="10"/>
  <c r="K26" i="10"/>
  <c r="H165" i="10"/>
  <c r="M165" i="10"/>
  <c r="I165" i="10"/>
  <c r="K165" i="10"/>
  <c r="H101" i="10"/>
  <c r="M101" i="10"/>
  <c r="I101" i="10"/>
  <c r="K101" i="10"/>
  <c r="H53" i="10"/>
  <c r="K53" i="10"/>
  <c r="I53" i="10"/>
  <c r="M53" i="10"/>
  <c r="H5" i="10"/>
  <c r="K5" i="10"/>
  <c r="M5" i="10"/>
  <c r="I5" i="10"/>
  <c r="H144" i="10"/>
  <c r="I144" i="10"/>
  <c r="M144" i="10"/>
  <c r="K144" i="10"/>
  <c r="H96" i="10"/>
  <c r="M96" i="10"/>
  <c r="I96" i="10"/>
  <c r="K96" i="10"/>
  <c r="H64" i="10"/>
  <c r="M64" i="10"/>
  <c r="I64" i="10"/>
  <c r="K64" i="10"/>
  <c r="H32" i="10"/>
  <c r="M32" i="10"/>
  <c r="I32" i="10"/>
  <c r="K32" i="10"/>
  <c r="H171" i="10"/>
  <c r="M171" i="10"/>
  <c r="I171" i="10"/>
  <c r="K171" i="10"/>
  <c r="H123" i="10"/>
  <c r="K123" i="10"/>
  <c r="M123" i="10"/>
  <c r="I123" i="10"/>
  <c r="H91" i="10"/>
  <c r="K91" i="10"/>
  <c r="M91" i="10"/>
  <c r="I91" i="10"/>
  <c r="H43" i="10"/>
  <c r="K43" i="10"/>
  <c r="M43" i="10"/>
  <c r="I43" i="10"/>
  <c r="H27" i="10"/>
  <c r="K27" i="10"/>
  <c r="M27" i="10"/>
  <c r="I27" i="10"/>
  <c r="H162" i="10"/>
  <c r="K162" i="10"/>
  <c r="I162" i="10"/>
  <c r="M162" i="10"/>
  <c r="H98" i="10"/>
  <c r="M98" i="10"/>
  <c r="I98" i="10"/>
  <c r="K98" i="10"/>
  <c r="H34" i="10"/>
  <c r="M34" i="10"/>
  <c r="I34" i="10"/>
  <c r="K34" i="10"/>
  <c r="H142" i="10"/>
  <c r="I142" i="10"/>
  <c r="M142" i="10"/>
  <c r="K142" i="10"/>
  <c r="H78" i="10"/>
  <c r="M78" i="10"/>
  <c r="I78" i="10"/>
  <c r="K78" i="10"/>
  <c r="H14" i="10"/>
  <c r="M14" i="10"/>
  <c r="K14" i="10"/>
  <c r="I14" i="10"/>
  <c r="H122" i="10"/>
  <c r="K122" i="10"/>
  <c r="M122" i="10"/>
  <c r="I122" i="10"/>
  <c r="H58" i="10"/>
  <c r="M58" i="10"/>
  <c r="I58" i="10"/>
  <c r="K58" i="10"/>
  <c r="H134" i="10"/>
  <c r="I134" i="10"/>
  <c r="M134" i="10"/>
  <c r="K134" i="10"/>
  <c r="H70" i="10"/>
  <c r="M70" i="10"/>
  <c r="I70" i="10"/>
  <c r="K70" i="10"/>
  <c r="H6" i="10"/>
  <c r="M6" i="10"/>
  <c r="I6" i="10"/>
  <c r="K6" i="10"/>
  <c r="H157" i="10"/>
  <c r="K157" i="10"/>
  <c r="I157" i="10"/>
  <c r="M157" i="10"/>
  <c r="H141" i="10"/>
  <c r="K141" i="10"/>
  <c r="I141" i="10"/>
  <c r="M141" i="10"/>
  <c r="H125" i="10"/>
  <c r="K125" i="10"/>
  <c r="I125" i="10"/>
  <c r="M125" i="10"/>
  <c r="H109" i="10"/>
  <c r="M109" i="10"/>
  <c r="I109" i="10"/>
  <c r="K109" i="10"/>
  <c r="H93" i="10"/>
  <c r="K93" i="10"/>
  <c r="M93" i="10"/>
  <c r="I93" i="10"/>
  <c r="H77" i="10"/>
  <c r="K77" i="10"/>
  <c r="I77" i="10"/>
  <c r="M77" i="10"/>
  <c r="H61" i="10"/>
  <c r="K61" i="10"/>
  <c r="I61" i="10"/>
  <c r="M61" i="10"/>
  <c r="H45" i="10"/>
  <c r="K45" i="10"/>
  <c r="I45" i="10"/>
  <c r="M45" i="10"/>
  <c r="H29" i="10"/>
  <c r="K29" i="10"/>
  <c r="I29" i="10"/>
  <c r="M29" i="10"/>
  <c r="H13" i="10"/>
  <c r="K13" i="10"/>
  <c r="M13" i="10"/>
  <c r="I13" i="10"/>
  <c r="H168" i="10"/>
  <c r="K168" i="10"/>
  <c r="M168" i="10"/>
  <c r="I168" i="10"/>
  <c r="H152" i="10"/>
  <c r="I152" i="10"/>
  <c r="M152" i="10"/>
  <c r="K152" i="10"/>
  <c r="H136" i="10"/>
  <c r="I136" i="10"/>
  <c r="M136" i="10"/>
  <c r="K136" i="10"/>
  <c r="H120" i="10"/>
  <c r="M120" i="10"/>
  <c r="K120" i="10"/>
  <c r="I120" i="10"/>
  <c r="H104" i="10"/>
  <c r="K104" i="10"/>
  <c r="I104" i="10"/>
  <c r="M104" i="10"/>
  <c r="H88" i="10"/>
  <c r="M88" i="10"/>
  <c r="I88" i="10"/>
  <c r="K88" i="10"/>
  <c r="H72" i="10"/>
  <c r="M72" i="10"/>
  <c r="I72" i="10"/>
  <c r="K72" i="10"/>
  <c r="H56" i="10"/>
  <c r="M56" i="10"/>
  <c r="I56" i="10"/>
  <c r="K56" i="10"/>
  <c r="H40" i="10"/>
  <c r="M40" i="10"/>
  <c r="I40" i="10"/>
  <c r="K40" i="10"/>
  <c r="H24" i="10"/>
  <c r="M24" i="10"/>
  <c r="I24" i="10"/>
  <c r="K24" i="10"/>
  <c r="H7" i="10"/>
  <c r="M7" i="10"/>
  <c r="I7" i="10"/>
  <c r="K7" i="10"/>
  <c r="H163" i="10"/>
  <c r="M163" i="10"/>
  <c r="I163" i="10"/>
  <c r="K163" i="10"/>
  <c r="H147" i="10"/>
  <c r="K147" i="10"/>
  <c r="I147" i="10"/>
  <c r="M147" i="10"/>
  <c r="H131" i="10"/>
  <c r="K131" i="10"/>
  <c r="I131" i="10"/>
  <c r="M131" i="10"/>
  <c r="H115" i="10"/>
  <c r="M115" i="10"/>
  <c r="I115" i="10"/>
  <c r="K115" i="10"/>
  <c r="H99" i="10"/>
  <c r="K99" i="10"/>
  <c r="M99" i="10"/>
  <c r="I99" i="10"/>
  <c r="H83" i="10"/>
  <c r="K83" i="10"/>
  <c r="M83" i="10"/>
  <c r="I83" i="10"/>
  <c r="H67" i="10"/>
  <c r="K67" i="10"/>
  <c r="M67" i="10"/>
  <c r="I67" i="10"/>
  <c r="H51" i="10"/>
  <c r="K51" i="10"/>
  <c r="M51" i="10"/>
  <c r="I51" i="10"/>
  <c r="H35" i="10"/>
  <c r="K35" i="10"/>
  <c r="M35" i="10"/>
  <c r="I35" i="10"/>
  <c r="H19" i="10"/>
  <c r="I19" i="10"/>
  <c r="M19" i="10"/>
  <c r="K19" i="10"/>
  <c r="H4" i="10"/>
  <c r="M4" i="10"/>
  <c r="I4" i="10"/>
  <c r="K4" i="10"/>
  <c r="H166" i="10"/>
  <c r="K166" i="10"/>
  <c r="I166" i="10"/>
  <c r="M166" i="10"/>
  <c r="H173" i="10"/>
  <c r="M173" i="10"/>
  <c r="I173" i="10"/>
  <c r="K173" i="10"/>
  <c r="H90" i="10"/>
  <c r="M90" i="10"/>
  <c r="I90" i="10"/>
  <c r="K90" i="10"/>
  <c r="H102" i="10"/>
  <c r="K102" i="10"/>
  <c r="I102" i="10"/>
  <c r="M102" i="10"/>
  <c r="H133" i="10"/>
  <c r="K133" i="10"/>
  <c r="I133" i="10"/>
  <c r="M133" i="10"/>
  <c r="H85" i="10"/>
  <c r="K85" i="10"/>
  <c r="I85" i="10"/>
  <c r="M85" i="10"/>
  <c r="H21" i="10"/>
  <c r="K21" i="10"/>
  <c r="M21" i="10"/>
  <c r="I21" i="10"/>
  <c r="H112" i="10"/>
  <c r="K112" i="10"/>
  <c r="I112" i="10"/>
  <c r="M112" i="10"/>
  <c r="H139" i="10"/>
  <c r="K139" i="10"/>
  <c r="I139" i="10"/>
  <c r="M139" i="10"/>
  <c r="H146" i="10"/>
  <c r="M146" i="10"/>
  <c r="K146" i="10"/>
  <c r="I146" i="10"/>
  <c r="H82" i="10"/>
  <c r="M82" i="10"/>
  <c r="I82" i="10"/>
  <c r="K82" i="10"/>
  <c r="H18" i="10"/>
  <c r="M18" i="10"/>
  <c r="K18" i="10"/>
  <c r="I18" i="10"/>
  <c r="H126" i="10"/>
  <c r="I126" i="10"/>
  <c r="M126" i="10"/>
  <c r="K126" i="10"/>
  <c r="H62" i="10"/>
  <c r="M62" i="10"/>
  <c r="I62" i="10"/>
  <c r="K62" i="10"/>
  <c r="H170" i="10"/>
  <c r="K170" i="10"/>
  <c r="I170" i="10"/>
  <c r="M170" i="10"/>
  <c r="H106" i="10"/>
  <c r="K106" i="10"/>
  <c r="I106" i="10"/>
  <c r="M106" i="10"/>
  <c r="H42" i="10"/>
  <c r="M42" i="10"/>
  <c r="I42" i="10"/>
  <c r="K42" i="10"/>
  <c r="H118" i="10"/>
  <c r="K118" i="10"/>
  <c r="I118" i="10"/>
  <c r="M118" i="10"/>
  <c r="H54" i="10"/>
  <c r="M54" i="10"/>
  <c r="I54" i="10"/>
  <c r="K54" i="10"/>
  <c r="H169" i="10"/>
  <c r="M169" i="10"/>
  <c r="I169" i="10"/>
  <c r="K169" i="10"/>
  <c r="H153" i="10"/>
  <c r="M153" i="10"/>
  <c r="K153" i="10"/>
  <c r="I153" i="10"/>
  <c r="H137" i="10"/>
  <c r="M137" i="10"/>
  <c r="K137" i="10"/>
  <c r="I137" i="10"/>
  <c r="H121" i="10"/>
  <c r="M121" i="10"/>
  <c r="K121" i="10"/>
  <c r="I121" i="10"/>
  <c r="H105" i="10"/>
  <c r="M105" i="10"/>
  <c r="I105" i="10"/>
  <c r="K105" i="10"/>
  <c r="H89" i="10"/>
  <c r="K89" i="10"/>
  <c r="I89" i="10"/>
  <c r="M89" i="10"/>
  <c r="H73" i="10"/>
  <c r="K73" i="10"/>
  <c r="I73" i="10"/>
  <c r="M73" i="10"/>
  <c r="H57" i="10"/>
  <c r="K57" i="10"/>
  <c r="I57" i="10"/>
  <c r="M57" i="10"/>
  <c r="H41" i="10"/>
  <c r="K41" i="10"/>
  <c r="I41" i="10"/>
  <c r="M41" i="10"/>
  <c r="H25" i="10"/>
  <c r="K25" i="10"/>
  <c r="I25" i="10"/>
  <c r="M25" i="10"/>
  <c r="H9" i="10"/>
  <c r="M9" i="10"/>
  <c r="I9" i="10"/>
  <c r="K9" i="10"/>
  <c r="H164" i="10"/>
  <c r="K164" i="10"/>
  <c r="M164" i="10"/>
  <c r="I164" i="10"/>
  <c r="H148" i="10"/>
  <c r="K148" i="10"/>
  <c r="I148" i="10"/>
  <c r="M148" i="10"/>
  <c r="H132" i="10"/>
  <c r="K132" i="10"/>
  <c r="I132" i="10"/>
  <c r="M132" i="10"/>
  <c r="H116" i="10"/>
  <c r="K116" i="10"/>
  <c r="M116" i="10"/>
  <c r="I116" i="10"/>
  <c r="H100" i="10"/>
  <c r="M100" i="10"/>
  <c r="I100" i="10"/>
  <c r="K100" i="10"/>
  <c r="H84" i="10"/>
  <c r="M84" i="10"/>
  <c r="I84" i="10"/>
  <c r="K84" i="10"/>
  <c r="H68" i="10"/>
  <c r="M68" i="10"/>
  <c r="I68" i="10"/>
  <c r="K68" i="10"/>
  <c r="H52" i="10"/>
  <c r="M52" i="10"/>
  <c r="I52" i="10"/>
  <c r="K52" i="10"/>
  <c r="H36" i="10"/>
  <c r="M36" i="10"/>
  <c r="I36" i="10"/>
  <c r="K36" i="10"/>
  <c r="H20" i="10"/>
  <c r="K20" i="10"/>
  <c r="I20" i="10"/>
  <c r="M20" i="10"/>
  <c r="H175" i="10"/>
  <c r="M175" i="10"/>
  <c r="I175" i="10"/>
  <c r="K175" i="10"/>
  <c r="H159" i="10"/>
  <c r="M159" i="10"/>
  <c r="I159" i="10"/>
  <c r="K159" i="10"/>
  <c r="H143" i="10"/>
  <c r="I143" i="10"/>
  <c r="M143" i="10"/>
  <c r="K143" i="10"/>
  <c r="H127" i="10"/>
  <c r="I127" i="10"/>
  <c r="M127" i="10"/>
  <c r="K127" i="10"/>
  <c r="H111" i="10"/>
  <c r="M111" i="10"/>
  <c r="I111" i="10"/>
  <c r="K111" i="10"/>
  <c r="H95" i="10"/>
  <c r="K95" i="10"/>
  <c r="M95" i="10"/>
  <c r="I95" i="10"/>
  <c r="H79" i="10"/>
  <c r="K79" i="10"/>
  <c r="M79" i="10"/>
  <c r="I79" i="10"/>
  <c r="H63" i="10"/>
  <c r="K63" i="10"/>
  <c r="M63" i="10"/>
  <c r="I63" i="10"/>
  <c r="H47" i="10"/>
  <c r="K47" i="10"/>
  <c r="M47" i="10"/>
  <c r="I47" i="10"/>
  <c r="H31" i="10"/>
  <c r="K31" i="10"/>
  <c r="M31" i="10"/>
  <c r="I31" i="10"/>
  <c r="H15" i="10"/>
  <c r="I15" i="10"/>
  <c r="M15" i="10"/>
  <c r="K15" i="10"/>
  <c r="H174" i="10"/>
  <c r="K174" i="10"/>
  <c r="I174" i="10"/>
  <c r="M174" i="10"/>
  <c r="J8" i="2"/>
  <c r="J7" i="2"/>
  <c r="X17" i="2"/>
  <c r="Y17" i="2" s="1"/>
  <c r="D17" i="2"/>
  <c r="E16" i="2" s="1"/>
  <c r="U155" i="10" l="1"/>
  <c r="S105" i="10"/>
  <c r="U105" i="10"/>
  <c r="S134" i="10"/>
  <c r="W41" i="10"/>
  <c r="W155" i="10"/>
  <c r="W134" i="10"/>
  <c r="U147" i="10"/>
  <c r="S41" i="10"/>
  <c r="AF174" i="10"/>
  <c r="AD174" i="10"/>
  <c r="AB174" i="10"/>
  <c r="AB158" i="10"/>
  <c r="AD158" i="10"/>
  <c r="AF158" i="10"/>
  <c r="AB142" i="10"/>
  <c r="AF142" i="10"/>
  <c r="AD142" i="10"/>
  <c r="AF126" i="10"/>
  <c r="AD126" i="10"/>
  <c r="AB126" i="10"/>
  <c r="AB110" i="10"/>
  <c r="AD110" i="10"/>
  <c r="AF110" i="10"/>
  <c r="AB94" i="10"/>
  <c r="AD94" i="10"/>
  <c r="AF94" i="10"/>
  <c r="AF78" i="10"/>
  <c r="AD78" i="10"/>
  <c r="AB78" i="10"/>
  <c r="AD62" i="10"/>
  <c r="AF62" i="10"/>
  <c r="AB62" i="10"/>
  <c r="AB46" i="10"/>
  <c r="AD46" i="10"/>
  <c r="AF46" i="10"/>
  <c r="AB30" i="10"/>
  <c r="AF30" i="10"/>
  <c r="AD30" i="10"/>
  <c r="AD14" i="10"/>
  <c r="AF14" i="10"/>
  <c r="AB14" i="10"/>
  <c r="AF159" i="10"/>
  <c r="AB159" i="10"/>
  <c r="AD159" i="10"/>
  <c r="AB95" i="10"/>
  <c r="AD95" i="10"/>
  <c r="AF95" i="10"/>
  <c r="AF47" i="10"/>
  <c r="AB47" i="10"/>
  <c r="AD47" i="10"/>
  <c r="AD173" i="10"/>
  <c r="AF173" i="10"/>
  <c r="AB173" i="10"/>
  <c r="AB157" i="10"/>
  <c r="AD157" i="10"/>
  <c r="AF157" i="10"/>
  <c r="AB141" i="10"/>
  <c r="AF141" i="10"/>
  <c r="AD141" i="10"/>
  <c r="AD125" i="10"/>
  <c r="AF125" i="10"/>
  <c r="AB125" i="10"/>
  <c r="AF109" i="10"/>
  <c r="AD109" i="10"/>
  <c r="AB109" i="10"/>
  <c r="AF93" i="10"/>
  <c r="AB93" i="10"/>
  <c r="AD93" i="10"/>
  <c r="AD77" i="10"/>
  <c r="AB77" i="10"/>
  <c r="AF77" i="10"/>
  <c r="AD61" i="10"/>
  <c r="AF61" i="10"/>
  <c r="AB61" i="10"/>
  <c r="AF45" i="10"/>
  <c r="AD45" i="10"/>
  <c r="AB45" i="10"/>
  <c r="AF29" i="10"/>
  <c r="AD29" i="10"/>
  <c r="AB29" i="10"/>
  <c r="AF13" i="10"/>
  <c r="AB13" i="10"/>
  <c r="AD13" i="10"/>
  <c r="AB171" i="10"/>
  <c r="AF171" i="10"/>
  <c r="AD171" i="10"/>
  <c r="AF135" i="10"/>
  <c r="AD135" i="10"/>
  <c r="AB135" i="10"/>
  <c r="AF87" i="10"/>
  <c r="AD87" i="10"/>
  <c r="AB87" i="10"/>
  <c r="AB39" i="10"/>
  <c r="AF39" i="10"/>
  <c r="AD39" i="10"/>
  <c r="AD172" i="10"/>
  <c r="AB172" i="10"/>
  <c r="AF172" i="10"/>
  <c r="AF156" i="10"/>
  <c r="AD156" i="10"/>
  <c r="AB156" i="10"/>
  <c r="AD140" i="10"/>
  <c r="AB140" i="10"/>
  <c r="AF140" i="10"/>
  <c r="AB124" i="10"/>
  <c r="AF124" i="10"/>
  <c r="AD124" i="10"/>
  <c r="AD108" i="10"/>
  <c r="AB108" i="10"/>
  <c r="AF108" i="10"/>
  <c r="AD92" i="10"/>
  <c r="AB92" i="10"/>
  <c r="AF92" i="10"/>
  <c r="AD76" i="10"/>
  <c r="AB76" i="10"/>
  <c r="AF76" i="10"/>
  <c r="AD60" i="10"/>
  <c r="AB60" i="10"/>
  <c r="AF60" i="10"/>
  <c r="AD44" i="10"/>
  <c r="AB44" i="10"/>
  <c r="AF44" i="10"/>
  <c r="AF28" i="10"/>
  <c r="AD28" i="10"/>
  <c r="AB28" i="10"/>
  <c r="AF12" i="10"/>
  <c r="AD12" i="10"/>
  <c r="AB12" i="10"/>
  <c r="AD155" i="10"/>
  <c r="AB155" i="10"/>
  <c r="AF155" i="10"/>
  <c r="AB115" i="10"/>
  <c r="AD115" i="10"/>
  <c r="AF115" i="10"/>
  <c r="AB67" i="10"/>
  <c r="AD67" i="10"/>
  <c r="AF67" i="10"/>
  <c r="AB19" i="10"/>
  <c r="AD19" i="10"/>
  <c r="AF19" i="10"/>
  <c r="AB170" i="10"/>
  <c r="AD170" i="10"/>
  <c r="AF170" i="10"/>
  <c r="AB154" i="10"/>
  <c r="AD154" i="10"/>
  <c r="AF154" i="10"/>
  <c r="AF138" i="10"/>
  <c r="AB138" i="10"/>
  <c r="AD138" i="10"/>
  <c r="AF122" i="10"/>
  <c r="AB122" i="10"/>
  <c r="AD122" i="10"/>
  <c r="AB106" i="10"/>
  <c r="AD106" i="10"/>
  <c r="AF106" i="10"/>
  <c r="AF90" i="10"/>
  <c r="AD90" i="10"/>
  <c r="AB90" i="10"/>
  <c r="AB74" i="10"/>
  <c r="AF74" i="10"/>
  <c r="AD74" i="10"/>
  <c r="AB58" i="10"/>
  <c r="AD58" i="10"/>
  <c r="AF58" i="10"/>
  <c r="AB42" i="10"/>
  <c r="AF42" i="10"/>
  <c r="AD42" i="10"/>
  <c r="AF26" i="10"/>
  <c r="AB26" i="10"/>
  <c r="AD26" i="10"/>
  <c r="AF10" i="10"/>
  <c r="AB10" i="10"/>
  <c r="AD10" i="10"/>
  <c r="AD131" i="10"/>
  <c r="AB131" i="10"/>
  <c r="AF131" i="10"/>
  <c r="AD83" i="10"/>
  <c r="AB83" i="10"/>
  <c r="AF83" i="10"/>
  <c r="AF35" i="10"/>
  <c r="AD35" i="10"/>
  <c r="AB35" i="10"/>
  <c r="AF169" i="10"/>
  <c r="AD169" i="10"/>
  <c r="AB169" i="10"/>
  <c r="AD153" i="10"/>
  <c r="AB153" i="10"/>
  <c r="AF153" i="10"/>
  <c r="AB137" i="10"/>
  <c r="AD137" i="10"/>
  <c r="AF137" i="10"/>
  <c r="AF121" i="10"/>
  <c r="AB121" i="10"/>
  <c r="AD121" i="10"/>
  <c r="AD105" i="10"/>
  <c r="AF105" i="10"/>
  <c r="AB105" i="10"/>
  <c r="AD89" i="10"/>
  <c r="AF89" i="10"/>
  <c r="AB89" i="10"/>
  <c r="AD73" i="10"/>
  <c r="AF73" i="10"/>
  <c r="AB73" i="10"/>
  <c r="AD57" i="10"/>
  <c r="AB57" i="10"/>
  <c r="AF57" i="10"/>
  <c r="AF41" i="10"/>
  <c r="AD41" i="10"/>
  <c r="AB41" i="10"/>
  <c r="AD25" i="10"/>
  <c r="AB25" i="10"/>
  <c r="AF25" i="10"/>
  <c r="AF9" i="10"/>
  <c r="AD9" i="10"/>
  <c r="AB9" i="10"/>
  <c r="AF163" i="10"/>
  <c r="AD163" i="10"/>
  <c r="AB163" i="10"/>
  <c r="AF123" i="10"/>
  <c r="AD123" i="10"/>
  <c r="AB123" i="10"/>
  <c r="AB75" i="10"/>
  <c r="AF75" i="10"/>
  <c r="AD75" i="10"/>
  <c r="AB27" i="10"/>
  <c r="AD27" i="10"/>
  <c r="AF27" i="10"/>
  <c r="AD168" i="10"/>
  <c r="AF168" i="10"/>
  <c r="AB168" i="10"/>
  <c r="AD152" i="10"/>
  <c r="AF152" i="10"/>
  <c r="AB152" i="10"/>
  <c r="AD136" i="10"/>
  <c r="AF136" i="10"/>
  <c r="AB136" i="10"/>
  <c r="AD120" i="10"/>
  <c r="AF120" i="10"/>
  <c r="AB120" i="10"/>
  <c r="AD104" i="10"/>
  <c r="AF104" i="10"/>
  <c r="AB104" i="10"/>
  <c r="AD88" i="10"/>
  <c r="AF88" i="10"/>
  <c r="AB88" i="10"/>
  <c r="AD72" i="10"/>
  <c r="AF72" i="10"/>
  <c r="AB72" i="10"/>
  <c r="AD56" i="10"/>
  <c r="AF56" i="10"/>
  <c r="AB56" i="10"/>
  <c r="AD40" i="10"/>
  <c r="AF40" i="10"/>
  <c r="AB40" i="10"/>
  <c r="AD24" i="10"/>
  <c r="AF24" i="10"/>
  <c r="AB24" i="10"/>
  <c r="AD8" i="10"/>
  <c r="AF8" i="10"/>
  <c r="AB8" i="10"/>
  <c r="AD147" i="10"/>
  <c r="AF147" i="10"/>
  <c r="AB147" i="10"/>
  <c r="AF103" i="10"/>
  <c r="AB103" i="10"/>
  <c r="AD103" i="10"/>
  <c r="AF55" i="10"/>
  <c r="AB55" i="10"/>
  <c r="AD55" i="10"/>
  <c r="AD4" i="10"/>
  <c r="AF4" i="10"/>
  <c r="AB4" i="10"/>
  <c r="AB162" i="10"/>
  <c r="AF162" i="10"/>
  <c r="AD162" i="10"/>
  <c r="AD146" i="10"/>
  <c r="AF146" i="10"/>
  <c r="AB146" i="10"/>
  <c r="AF130" i="10"/>
  <c r="AD130" i="10"/>
  <c r="AB130" i="10"/>
  <c r="AB114" i="10"/>
  <c r="AF114" i="10"/>
  <c r="AD114" i="10"/>
  <c r="AF98" i="10"/>
  <c r="AD98" i="10"/>
  <c r="AB98" i="10"/>
  <c r="AF82" i="10"/>
  <c r="AD82" i="10"/>
  <c r="AB82" i="10"/>
  <c r="AF66" i="10"/>
  <c r="AD66" i="10"/>
  <c r="AB66" i="10"/>
  <c r="AB50" i="10"/>
  <c r="AD50" i="10"/>
  <c r="AF50" i="10"/>
  <c r="AF34" i="10"/>
  <c r="AD34" i="10"/>
  <c r="AB34" i="10"/>
  <c r="AB18" i="10"/>
  <c r="AD18" i="10"/>
  <c r="AF18" i="10"/>
  <c r="AD107" i="10"/>
  <c r="AF107" i="10"/>
  <c r="AB107" i="10"/>
  <c r="AF59" i="10"/>
  <c r="AB59" i="10"/>
  <c r="AD59" i="10"/>
  <c r="AB11" i="10"/>
  <c r="AD11" i="10"/>
  <c r="AF11" i="10"/>
  <c r="AF161" i="10"/>
  <c r="AB161" i="10"/>
  <c r="AD161" i="10"/>
  <c r="AF145" i="10"/>
  <c r="AB145" i="10"/>
  <c r="AD145" i="10"/>
  <c r="AB129" i="10"/>
  <c r="AD129" i="10"/>
  <c r="AF129" i="10"/>
  <c r="AD113" i="10"/>
  <c r="AF113" i="10"/>
  <c r="AB113" i="10"/>
  <c r="AF97" i="10"/>
  <c r="AB97" i="10"/>
  <c r="AD97" i="10"/>
  <c r="AD81" i="10"/>
  <c r="AB81" i="10"/>
  <c r="AF81" i="10"/>
  <c r="AB65" i="10"/>
  <c r="AD65" i="10"/>
  <c r="AF65" i="10"/>
  <c r="AF49" i="10"/>
  <c r="AB49" i="10"/>
  <c r="AD49" i="10"/>
  <c r="AD33" i="10"/>
  <c r="AF33" i="10"/>
  <c r="AB33" i="10"/>
  <c r="AF17" i="10"/>
  <c r="AB17" i="10"/>
  <c r="AD17" i="10"/>
  <c r="AF143" i="10"/>
  <c r="AD143" i="10"/>
  <c r="AB143" i="10"/>
  <c r="AF99" i="10"/>
  <c r="AD99" i="10"/>
  <c r="AB99" i="10"/>
  <c r="AF51" i="10"/>
  <c r="AD51" i="10"/>
  <c r="AB51" i="10"/>
  <c r="AD7" i="10"/>
  <c r="AF7" i="10"/>
  <c r="AB7" i="10"/>
  <c r="AD160" i="10"/>
  <c r="AB160" i="10"/>
  <c r="AF160" i="10"/>
  <c r="AD144" i="10"/>
  <c r="AB144" i="10"/>
  <c r="AF144" i="10"/>
  <c r="AB128" i="10"/>
  <c r="AF128" i="10"/>
  <c r="AD128" i="10"/>
  <c r="AD112" i="10"/>
  <c r="AB112" i="10"/>
  <c r="AF112" i="10"/>
  <c r="AD96" i="10"/>
  <c r="AF96" i="10"/>
  <c r="AB96" i="10"/>
  <c r="AD80" i="10"/>
  <c r="AF80" i="10"/>
  <c r="AB80" i="10"/>
  <c r="AB64" i="10"/>
  <c r="AD64" i="10"/>
  <c r="AF64" i="10"/>
  <c r="AF48" i="10"/>
  <c r="AD48" i="10"/>
  <c r="AB48" i="10"/>
  <c r="AF32" i="10"/>
  <c r="AB32" i="10"/>
  <c r="AD32" i="10"/>
  <c r="AF16" i="10"/>
  <c r="AB16" i="10"/>
  <c r="AD16" i="10"/>
  <c r="AF167" i="10"/>
  <c r="AD167" i="10"/>
  <c r="AB167" i="10"/>
  <c r="AB127" i="10"/>
  <c r="AD127" i="10"/>
  <c r="AF127" i="10"/>
  <c r="AF79" i="10"/>
  <c r="AD79" i="10"/>
  <c r="AB79" i="10"/>
  <c r="AD31" i="10"/>
  <c r="AB31" i="10"/>
  <c r="AF31" i="10"/>
  <c r="AF166" i="10"/>
  <c r="AB166" i="10"/>
  <c r="AD166" i="10"/>
  <c r="AF150" i="10"/>
  <c r="AB150" i="10"/>
  <c r="AD150" i="10"/>
  <c r="AB134" i="10"/>
  <c r="AF134" i="10"/>
  <c r="AD134" i="10"/>
  <c r="AB118" i="10"/>
  <c r="AF118" i="10"/>
  <c r="AD118" i="10"/>
  <c r="AD102" i="10"/>
  <c r="AB102" i="10"/>
  <c r="AF102" i="10"/>
  <c r="AF86" i="10"/>
  <c r="AB86" i="10"/>
  <c r="AD86" i="10"/>
  <c r="AD70" i="10"/>
  <c r="AB70" i="10"/>
  <c r="AF70" i="10"/>
  <c r="AD54" i="10"/>
  <c r="AB54" i="10"/>
  <c r="AF54" i="10"/>
  <c r="AD38" i="10"/>
  <c r="AB38" i="10"/>
  <c r="AF38" i="10"/>
  <c r="AD22" i="10"/>
  <c r="AB22" i="10"/>
  <c r="AF22" i="10"/>
  <c r="AD6" i="10"/>
  <c r="AF6" i="10"/>
  <c r="AB6" i="10"/>
  <c r="AF119" i="10"/>
  <c r="AD119" i="10"/>
  <c r="AB119" i="10"/>
  <c r="AD71" i="10"/>
  <c r="AF71" i="10"/>
  <c r="AB71" i="10"/>
  <c r="AD23" i="10"/>
  <c r="AF23" i="10"/>
  <c r="AB23" i="10"/>
  <c r="AD165" i="10"/>
  <c r="AF165" i="10"/>
  <c r="AB165" i="10"/>
  <c r="AB149" i="10"/>
  <c r="AF149" i="10"/>
  <c r="AD149" i="10"/>
  <c r="AD133" i="10"/>
  <c r="AF133" i="10"/>
  <c r="AB133" i="10"/>
  <c r="AD117" i="10"/>
  <c r="AB117" i="10"/>
  <c r="AF117" i="10"/>
  <c r="AB101" i="10"/>
  <c r="AD101" i="10"/>
  <c r="AF101" i="10"/>
  <c r="AB85" i="10"/>
  <c r="AF85" i="10"/>
  <c r="AD85" i="10"/>
  <c r="AD69" i="10"/>
  <c r="AB69" i="10"/>
  <c r="AF69" i="10"/>
  <c r="AB53" i="10"/>
  <c r="AF53" i="10"/>
  <c r="AD53" i="10"/>
  <c r="AF37" i="10"/>
  <c r="AB37" i="10"/>
  <c r="AD37" i="10"/>
  <c r="AB21" i="10"/>
  <c r="AF21" i="10"/>
  <c r="AD21" i="10"/>
  <c r="AF5" i="10"/>
  <c r="AD5" i="10"/>
  <c r="AB5" i="10"/>
  <c r="AB151" i="10"/>
  <c r="AD151" i="10"/>
  <c r="AF151" i="10"/>
  <c r="AD111" i="10"/>
  <c r="AB111" i="10"/>
  <c r="AF111" i="10"/>
  <c r="AB63" i="10"/>
  <c r="AF63" i="10"/>
  <c r="AD63" i="10"/>
  <c r="AF15" i="10"/>
  <c r="AD15" i="10"/>
  <c r="AB15" i="10"/>
  <c r="AD164" i="10"/>
  <c r="AB164" i="10"/>
  <c r="AF164" i="10"/>
  <c r="AD148" i="10"/>
  <c r="AB148" i="10"/>
  <c r="AF148" i="10"/>
  <c r="AD132" i="10"/>
  <c r="AB132" i="10"/>
  <c r="AF132" i="10"/>
  <c r="AD116" i="10"/>
  <c r="AB116" i="10"/>
  <c r="AF116" i="10"/>
  <c r="AD100" i="10"/>
  <c r="AB100" i="10"/>
  <c r="AF100" i="10"/>
  <c r="AD84" i="10"/>
  <c r="AB84" i="10"/>
  <c r="AF84" i="10"/>
  <c r="AD68" i="10"/>
  <c r="AB68" i="10"/>
  <c r="AF68" i="10"/>
  <c r="AD52" i="10"/>
  <c r="AB52" i="10"/>
  <c r="AF52" i="10"/>
  <c r="AD36" i="10"/>
  <c r="AB36" i="10"/>
  <c r="AF36" i="10"/>
  <c r="AD20" i="10"/>
  <c r="AB20" i="10"/>
  <c r="AF20" i="10"/>
  <c r="AD175" i="10"/>
  <c r="AF175" i="10"/>
  <c r="AB175" i="10"/>
  <c r="AB139" i="10"/>
  <c r="AD139" i="10"/>
  <c r="AF139" i="10"/>
  <c r="AF91" i="10"/>
  <c r="AD91" i="10"/>
  <c r="AB91" i="10"/>
  <c r="AD43" i="10"/>
  <c r="AB43" i="10"/>
  <c r="AF43" i="10"/>
  <c r="L174" i="10"/>
  <c r="J174" i="10"/>
  <c r="N174" i="10"/>
  <c r="N31" i="10"/>
  <c r="J31" i="10"/>
  <c r="L31" i="10"/>
  <c r="N63" i="10"/>
  <c r="J63" i="10"/>
  <c r="L63" i="10"/>
  <c r="J111" i="10"/>
  <c r="N111" i="10"/>
  <c r="L111" i="10"/>
  <c r="N159" i="10"/>
  <c r="J159" i="10"/>
  <c r="L159" i="10"/>
  <c r="L36" i="10"/>
  <c r="N36" i="10"/>
  <c r="J36" i="10"/>
  <c r="L68" i="10"/>
  <c r="N68" i="10"/>
  <c r="J68" i="10"/>
  <c r="L116" i="10"/>
  <c r="J116" i="10"/>
  <c r="N116" i="10"/>
  <c r="L164" i="10"/>
  <c r="N164" i="10"/>
  <c r="J164" i="10"/>
  <c r="N41" i="10"/>
  <c r="J41" i="10"/>
  <c r="L41" i="10"/>
  <c r="N89" i="10"/>
  <c r="J89" i="10"/>
  <c r="L89" i="10"/>
  <c r="N121" i="10"/>
  <c r="J121" i="10"/>
  <c r="L121" i="10"/>
  <c r="N169" i="10"/>
  <c r="J169" i="10"/>
  <c r="L169" i="10"/>
  <c r="L42" i="10"/>
  <c r="J42" i="10"/>
  <c r="N42" i="10"/>
  <c r="L62" i="10"/>
  <c r="J62" i="10"/>
  <c r="N62" i="10"/>
  <c r="L82" i="10"/>
  <c r="J82" i="10"/>
  <c r="N82" i="10"/>
  <c r="J112" i="10"/>
  <c r="N112" i="10"/>
  <c r="L112" i="10"/>
  <c r="N133" i="10"/>
  <c r="J133" i="10"/>
  <c r="L133" i="10"/>
  <c r="N173" i="10"/>
  <c r="J173" i="10"/>
  <c r="L173" i="10"/>
  <c r="N19" i="10"/>
  <c r="J19" i="10"/>
  <c r="L19" i="10"/>
  <c r="N67" i="10"/>
  <c r="J67" i="10"/>
  <c r="L67" i="10"/>
  <c r="N131" i="10"/>
  <c r="J131" i="10"/>
  <c r="L131" i="10"/>
  <c r="L40" i="10"/>
  <c r="N40" i="10"/>
  <c r="J40" i="10"/>
  <c r="N61" i="10"/>
  <c r="J61" i="10"/>
  <c r="L61" i="10"/>
  <c r="N15" i="10"/>
  <c r="J15" i="10"/>
  <c r="L15" i="10"/>
  <c r="N79" i="10"/>
  <c r="J79" i="10"/>
  <c r="L79" i="10"/>
  <c r="N127" i="10"/>
  <c r="J127" i="10"/>
  <c r="L127" i="10"/>
  <c r="N175" i="10"/>
  <c r="J175" i="10"/>
  <c r="L175" i="10"/>
  <c r="L52" i="10"/>
  <c r="N52" i="10"/>
  <c r="J52" i="10"/>
  <c r="L100" i="10"/>
  <c r="N100" i="10"/>
  <c r="J100" i="10"/>
  <c r="L148" i="10"/>
  <c r="J148" i="10"/>
  <c r="N148" i="10"/>
  <c r="N25" i="10"/>
  <c r="J25" i="10"/>
  <c r="L25" i="10"/>
  <c r="N57" i="10"/>
  <c r="J57" i="10"/>
  <c r="L57" i="10"/>
  <c r="J105" i="10"/>
  <c r="N105" i="10"/>
  <c r="L105" i="10"/>
  <c r="N153" i="10"/>
  <c r="J153" i="10"/>
  <c r="L153" i="10"/>
  <c r="L54" i="10"/>
  <c r="J54" i="10"/>
  <c r="N54" i="10"/>
  <c r="N106" i="10"/>
  <c r="L106" i="10"/>
  <c r="J106" i="10"/>
  <c r="L126" i="10"/>
  <c r="J126" i="10"/>
  <c r="N126" i="10"/>
  <c r="N139" i="10"/>
  <c r="J139" i="10"/>
  <c r="L139" i="10"/>
  <c r="N21" i="10"/>
  <c r="J21" i="10"/>
  <c r="L21" i="10"/>
  <c r="L102" i="10"/>
  <c r="J102" i="10"/>
  <c r="N102" i="10"/>
  <c r="L166" i="10"/>
  <c r="J166" i="10"/>
  <c r="N166" i="10"/>
  <c r="N35" i="10"/>
  <c r="J35" i="10"/>
  <c r="L35" i="10"/>
  <c r="N83" i="10"/>
  <c r="J83" i="10"/>
  <c r="L83" i="10"/>
  <c r="N115" i="10"/>
  <c r="L115" i="10"/>
  <c r="J115" i="10"/>
  <c r="N163" i="10"/>
  <c r="J163" i="10"/>
  <c r="L163" i="10"/>
  <c r="L24" i="10"/>
  <c r="N24" i="10"/>
  <c r="J24" i="10"/>
  <c r="L56" i="10"/>
  <c r="N56" i="10"/>
  <c r="J56" i="10"/>
  <c r="L88" i="10"/>
  <c r="N88" i="10"/>
  <c r="J88" i="10"/>
  <c r="L120" i="10"/>
  <c r="J120" i="10"/>
  <c r="N120" i="10"/>
  <c r="L152" i="10"/>
  <c r="N152" i="10"/>
  <c r="J152" i="10"/>
  <c r="N93" i="10"/>
  <c r="J93" i="10"/>
  <c r="L93" i="10"/>
  <c r="N47" i="10"/>
  <c r="J47" i="10"/>
  <c r="L47" i="10"/>
  <c r="N95" i="10"/>
  <c r="J95" i="10"/>
  <c r="L95" i="10"/>
  <c r="N143" i="10"/>
  <c r="J143" i="10"/>
  <c r="L143" i="10"/>
  <c r="L20" i="10"/>
  <c r="N20" i="10"/>
  <c r="J20" i="10"/>
  <c r="L84" i="10"/>
  <c r="N84" i="10"/>
  <c r="J84" i="10"/>
  <c r="L132" i="10"/>
  <c r="J132" i="10"/>
  <c r="N132" i="10"/>
  <c r="J9" i="10"/>
  <c r="N9" i="10"/>
  <c r="L9" i="10"/>
  <c r="N73" i="10"/>
  <c r="J73" i="10"/>
  <c r="L73" i="10"/>
  <c r="N137" i="10"/>
  <c r="J137" i="10"/>
  <c r="L137" i="10"/>
  <c r="L118" i="10"/>
  <c r="J118" i="10"/>
  <c r="N118" i="10"/>
  <c r="L170" i="10"/>
  <c r="J170" i="10"/>
  <c r="N170" i="10"/>
  <c r="L18" i="10"/>
  <c r="J18" i="10"/>
  <c r="N18" i="10"/>
  <c r="L146" i="10"/>
  <c r="J146" i="10"/>
  <c r="N146" i="10"/>
  <c r="N85" i="10"/>
  <c r="J85" i="10"/>
  <c r="L85" i="10"/>
  <c r="L90" i="10"/>
  <c r="J90" i="10"/>
  <c r="N90" i="10"/>
  <c r="N4" i="10"/>
  <c r="L4" i="10"/>
  <c r="J4" i="10"/>
  <c r="N51" i="10"/>
  <c r="J51" i="10"/>
  <c r="L51" i="10"/>
  <c r="N99" i="10"/>
  <c r="J99" i="10"/>
  <c r="L99" i="10"/>
  <c r="N147" i="10"/>
  <c r="J147" i="10"/>
  <c r="L147" i="10"/>
  <c r="L7" i="10"/>
  <c r="J7" i="10"/>
  <c r="N7" i="10"/>
  <c r="L72" i="10"/>
  <c r="N72" i="10"/>
  <c r="J72" i="10"/>
  <c r="J104" i="10"/>
  <c r="N104" i="10"/>
  <c r="L104" i="10"/>
  <c r="L136" i="10"/>
  <c r="N136" i="10"/>
  <c r="J136" i="10"/>
  <c r="L168" i="10"/>
  <c r="N168" i="10"/>
  <c r="J168" i="10"/>
  <c r="N13" i="10"/>
  <c r="J13" i="10"/>
  <c r="L13" i="10"/>
  <c r="N29" i="10"/>
  <c r="J29" i="10"/>
  <c r="L29" i="10"/>
  <c r="N45" i="10"/>
  <c r="J45" i="10"/>
  <c r="L45" i="10"/>
  <c r="N77" i="10"/>
  <c r="J77" i="10"/>
  <c r="L77" i="10"/>
  <c r="L109" i="10"/>
  <c r="J109" i="10"/>
  <c r="N109" i="10"/>
  <c r="N125" i="10"/>
  <c r="J125" i="10"/>
  <c r="L125" i="10"/>
  <c r="N141" i="10"/>
  <c r="J141" i="10"/>
  <c r="L141" i="10"/>
  <c r="N157" i="10"/>
  <c r="J157" i="10"/>
  <c r="L157" i="10"/>
  <c r="N6" i="10"/>
  <c r="L6" i="10"/>
  <c r="J6" i="10"/>
  <c r="L70" i="10"/>
  <c r="J70" i="10"/>
  <c r="N70" i="10"/>
  <c r="L134" i="10"/>
  <c r="J134" i="10"/>
  <c r="N134" i="10"/>
  <c r="L58" i="10"/>
  <c r="J58" i="10"/>
  <c r="N58" i="10"/>
  <c r="L122" i="10"/>
  <c r="N122" i="10"/>
  <c r="J122" i="10"/>
  <c r="L14" i="10"/>
  <c r="J14" i="10"/>
  <c r="N14" i="10"/>
  <c r="L78" i="10"/>
  <c r="J78" i="10"/>
  <c r="N78" i="10"/>
  <c r="L142" i="10"/>
  <c r="J142" i="10"/>
  <c r="N142" i="10"/>
  <c r="L34" i="10"/>
  <c r="J34" i="10"/>
  <c r="N34" i="10"/>
  <c r="L98" i="10"/>
  <c r="N98" i="10"/>
  <c r="J98" i="10"/>
  <c r="L162" i="10"/>
  <c r="J162" i="10"/>
  <c r="N162" i="10"/>
  <c r="N27" i="10"/>
  <c r="J27" i="10"/>
  <c r="L27" i="10"/>
  <c r="N43" i="10"/>
  <c r="J43" i="10"/>
  <c r="L43" i="10"/>
  <c r="N91" i="10"/>
  <c r="J91" i="10"/>
  <c r="L91" i="10"/>
  <c r="N123" i="10"/>
  <c r="J123" i="10"/>
  <c r="L123" i="10"/>
  <c r="N171" i="10"/>
  <c r="J171" i="10"/>
  <c r="L171" i="10"/>
  <c r="L32" i="10"/>
  <c r="N32" i="10"/>
  <c r="J32" i="10"/>
  <c r="L64" i="10"/>
  <c r="N64" i="10"/>
  <c r="J64" i="10"/>
  <c r="L96" i="10"/>
  <c r="N96" i="10"/>
  <c r="J96" i="10"/>
  <c r="L144" i="10"/>
  <c r="N144" i="10"/>
  <c r="J144" i="10"/>
  <c r="N5" i="10"/>
  <c r="J5" i="10"/>
  <c r="L5" i="10"/>
  <c r="N53" i="10"/>
  <c r="J53" i="10"/>
  <c r="L53" i="10"/>
  <c r="L101" i="10"/>
  <c r="J101" i="10"/>
  <c r="N101" i="10"/>
  <c r="N165" i="10"/>
  <c r="J165" i="10"/>
  <c r="L165" i="10"/>
  <c r="L26" i="10"/>
  <c r="N26" i="10"/>
  <c r="J26" i="10"/>
  <c r="L46" i="10"/>
  <c r="J46" i="10"/>
  <c r="N46" i="10"/>
  <c r="L66" i="10"/>
  <c r="J66" i="10"/>
  <c r="N66" i="10"/>
  <c r="L8" i="10"/>
  <c r="J8" i="10"/>
  <c r="N8" i="10"/>
  <c r="N23" i="10"/>
  <c r="J23" i="10"/>
  <c r="L23" i="10"/>
  <c r="N39" i="10"/>
  <c r="J39" i="10"/>
  <c r="L39" i="10"/>
  <c r="N55" i="10"/>
  <c r="J55" i="10"/>
  <c r="L55" i="10"/>
  <c r="N71" i="10"/>
  <c r="J71" i="10"/>
  <c r="L71" i="10"/>
  <c r="N87" i="10"/>
  <c r="J87" i="10"/>
  <c r="L87" i="10"/>
  <c r="J103" i="10"/>
  <c r="N103" i="10"/>
  <c r="L103" i="10"/>
  <c r="N119" i="10"/>
  <c r="J119" i="10"/>
  <c r="L119" i="10"/>
  <c r="N135" i="10"/>
  <c r="J135" i="10"/>
  <c r="L135" i="10"/>
  <c r="N151" i="10"/>
  <c r="J151" i="10"/>
  <c r="L151" i="10"/>
  <c r="N167" i="10"/>
  <c r="J167" i="10"/>
  <c r="L167" i="10"/>
  <c r="N12" i="10"/>
  <c r="L12" i="10"/>
  <c r="J12" i="10"/>
  <c r="L28" i="10"/>
  <c r="N28" i="10"/>
  <c r="J28" i="10"/>
  <c r="L44" i="10"/>
  <c r="N44" i="10"/>
  <c r="J44" i="10"/>
  <c r="L60" i="10"/>
  <c r="N60" i="10"/>
  <c r="J60" i="10"/>
  <c r="L76" i="10"/>
  <c r="N76" i="10"/>
  <c r="J76" i="10"/>
  <c r="L92" i="10"/>
  <c r="N92" i="10"/>
  <c r="J92" i="10"/>
  <c r="L108" i="10"/>
  <c r="J108" i="10"/>
  <c r="N108" i="10"/>
  <c r="L124" i="10"/>
  <c r="J124" i="10"/>
  <c r="N124" i="10"/>
  <c r="L140" i="10"/>
  <c r="J140" i="10"/>
  <c r="N140" i="10"/>
  <c r="L156" i="10"/>
  <c r="J156" i="10"/>
  <c r="N156" i="10"/>
  <c r="L172" i="10"/>
  <c r="N172" i="10"/>
  <c r="J172" i="10"/>
  <c r="N17" i="10"/>
  <c r="J17" i="10"/>
  <c r="L17" i="10"/>
  <c r="N33" i="10"/>
  <c r="J33" i="10"/>
  <c r="L33" i="10"/>
  <c r="N49" i="10"/>
  <c r="J49" i="10"/>
  <c r="L49" i="10"/>
  <c r="N65" i="10"/>
  <c r="J65" i="10"/>
  <c r="L65" i="10"/>
  <c r="N81" i="10"/>
  <c r="J81" i="10"/>
  <c r="L81" i="10"/>
  <c r="N97" i="10"/>
  <c r="J97" i="10"/>
  <c r="L97" i="10"/>
  <c r="J113" i="10"/>
  <c r="N113" i="10"/>
  <c r="L113" i="10"/>
  <c r="N129" i="10"/>
  <c r="J129" i="10"/>
  <c r="L129" i="10"/>
  <c r="N145" i="10"/>
  <c r="J145" i="10"/>
  <c r="L145" i="10"/>
  <c r="N161" i="10"/>
  <c r="J161" i="10"/>
  <c r="L161" i="10"/>
  <c r="L22" i="10"/>
  <c r="J22" i="10"/>
  <c r="N22" i="10"/>
  <c r="L86" i="10"/>
  <c r="J86" i="10"/>
  <c r="N86" i="10"/>
  <c r="L10" i="10"/>
  <c r="J10" i="10"/>
  <c r="N10" i="10"/>
  <c r="L74" i="10"/>
  <c r="J74" i="10"/>
  <c r="N74" i="10"/>
  <c r="L138" i="10"/>
  <c r="J138" i="10"/>
  <c r="N138" i="10"/>
  <c r="L30" i="10"/>
  <c r="J30" i="10"/>
  <c r="N30" i="10"/>
  <c r="L94" i="10"/>
  <c r="J94" i="10"/>
  <c r="N94" i="10"/>
  <c r="L158" i="10"/>
  <c r="J158" i="10"/>
  <c r="N158" i="10"/>
  <c r="L50" i="10"/>
  <c r="J50" i="10"/>
  <c r="N50" i="10"/>
  <c r="N114" i="10"/>
  <c r="L114" i="10"/>
  <c r="J114" i="10"/>
  <c r="L150" i="10"/>
  <c r="J150" i="10"/>
  <c r="N150" i="10"/>
  <c r="N11" i="10"/>
  <c r="L11" i="10"/>
  <c r="J11" i="10"/>
  <c r="N59" i="10"/>
  <c r="J59" i="10"/>
  <c r="L59" i="10"/>
  <c r="N75" i="10"/>
  <c r="J75" i="10"/>
  <c r="L75" i="10"/>
  <c r="N107" i="10"/>
  <c r="L107" i="10"/>
  <c r="J107" i="10"/>
  <c r="N155" i="10"/>
  <c r="J155" i="10"/>
  <c r="L155" i="10"/>
  <c r="L16" i="10"/>
  <c r="N16" i="10"/>
  <c r="J16" i="10"/>
  <c r="L48" i="10"/>
  <c r="N48" i="10"/>
  <c r="J48" i="10"/>
  <c r="L80" i="10"/>
  <c r="N80" i="10"/>
  <c r="J80" i="10"/>
  <c r="L128" i="10"/>
  <c r="N128" i="10"/>
  <c r="J128" i="10"/>
  <c r="L160" i="10"/>
  <c r="N160" i="10"/>
  <c r="J160" i="10"/>
  <c r="N37" i="10"/>
  <c r="J37" i="10"/>
  <c r="L37" i="10"/>
  <c r="N69" i="10"/>
  <c r="J69" i="10"/>
  <c r="L69" i="10"/>
  <c r="L117" i="10"/>
  <c r="J117" i="10"/>
  <c r="N117" i="10"/>
  <c r="N149" i="10"/>
  <c r="J149" i="10"/>
  <c r="L149" i="10"/>
  <c r="L38" i="10"/>
  <c r="J38" i="10"/>
  <c r="N38" i="10"/>
  <c r="L154" i="10"/>
  <c r="J154" i="10"/>
  <c r="N154" i="10"/>
  <c r="L110" i="10"/>
  <c r="J110" i="10"/>
  <c r="N110" i="10"/>
  <c r="L130" i="10"/>
  <c r="J130" i="10"/>
  <c r="N130" i="10"/>
  <c r="K17" i="2" l="1"/>
  <c r="L17" i="2" s="1"/>
  <c r="M17" i="2" s="1"/>
  <c r="K16" i="2"/>
  <c r="L16" i="2" s="1"/>
  <c r="M16" i="2" s="1"/>
  <c r="F16" i="2"/>
  <c r="F17" i="2"/>
  <c r="G17" i="2" s="1"/>
  <c r="G16" i="2" l="1"/>
  <c r="N16" i="2"/>
  <c r="C7" i="2" s="1"/>
  <c r="N17" i="2"/>
  <c r="C8" i="2" l="1"/>
</calcChain>
</file>

<file path=xl/comments1.xml><?xml version="1.0" encoding="utf-8"?>
<comments xmlns="http://schemas.openxmlformats.org/spreadsheetml/2006/main">
  <authors>
    <author>DELL1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Calcolato dall'asse del ferro longitudinale</t>
        </r>
      </text>
    </comment>
  </commentList>
</comments>
</file>

<file path=xl/comments2.xml><?xml version="1.0" encoding="utf-8"?>
<comments xmlns="http://schemas.openxmlformats.org/spreadsheetml/2006/main">
  <authors>
    <author>Davide Cicchini</author>
    <author>r</author>
    <author>Nicla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Spessore del copriferro calcolato dall'asse del ferro longitudinale.
</t>
        </r>
      </text>
    </comment>
    <comment ref="F21" authorId="0" shapeId="0">
      <text>
        <r>
          <rPr>
            <b/>
            <sz val="11"/>
            <color indexed="81"/>
            <rFont val="Tahoma"/>
            <family val="2"/>
          </rPr>
          <t>Davide Cicchini:</t>
        </r>
        <r>
          <rPr>
            <sz val="11"/>
            <color indexed="81"/>
            <rFont val="Tahoma"/>
            <family val="2"/>
          </rPr>
          <t xml:space="preserve">
Altezza libera del pilastro</t>
        </r>
      </text>
    </comment>
    <comment ref="E31" authorId="1" shapeId="0">
      <text>
        <r>
          <rPr>
            <sz val="8"/>
            <color indexed="81"/>
            <rFont val="Tahoma"/>
            <family val="2"/>
          </rPr>
          <t xml:space="preserve">Coefficiente riduttivo per le resistenze di lunga durata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Vale per classi ≤C50/60</t>
        </r>
      </text>
    </comment>
    <comment ref="C44" authorId="2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si sceglie pressoflessione retta si deve inserire il momento flettente in direzione x, mentre nella direzione y verrà considerato il momento flettente provocato dallo sforzo normale situato in testa al pilastro moltiplicato per l'eccentricità accidentale di 0,05 H</t>
        </r>
      </text>
    </comment>
  </commentList>
</comments>
</file>

<file path=xl/comments3.xml><?xml version="1.0" encoding="utf-8"?>
<comments xmlns="http://schemas.openxmlformats.org/spreadsheetml/2006/main">
  <authors>
    <author>Nicla</author>
    <author>Davide Cicchini</author>
  </authors>
  <commentList>
    <comment ref="L6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Secondo Ghersi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 xml:space="preserve">Davide Cicchini:
</t>
        </r>
        <r>
          <rPr>
            <sz val="9"/>
            <color indexed="81"/>
            <rFont val="Tahoma"/>
            <family val="2"/>
          </rPr>
          <t>Secondo NTC08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L'interferro deve essere almeno due volte il diametro</t>
        </r>
      </text>
    </comment>
    <comment ref="C15" authorId="1" shapeId="0">
      <text>
        <r>
          <rPr>
            <b/>
            <sz val="12"/>
            <color indexed="81"/>
            <rFont val="Tahoma"/>
            <family val="2"/>
          </rPr>
          <t xml:space="preserve">Davide Cicchini:
</t>
        </r>
        <r>
          <rPr>
            <sz val="12"/>
            <color indexed="81"/>
            <rFont val="Tahoma"/>
            <family val="2"/>
          </rPr>
          <t>ROTTURA BILANCIATA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 xml:space="preserve">Significa che le armature in zona tesa e in zona compressa sono entrambe snervate 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Ghersi consiglia valori minori del 2,5%</t>
        </r>
      </text>
    </comment>
  </commentList>
</comments>
</file>

<file path=xl/comments4.xml><?xml version="1.0" encoding="utf-8"?>
<comments xmlns="http://schemas.openxmlformats.org/spreadsheetml/2006/main">
  <authors>
    <author>Davide Cicchini</author>
    <author>r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Fuori dalla zona critica max 25 cm o 12 volte il diametro della più piccola armatura longitudinale, ad esclusione dei reggi staffe.</t>
        </r>
      </text>
    </comment>
    <comment ref="D14" authorId="1" shapeId="0">
      <text>
        <r>
          <rPr>
            <sz val="8"/>
            <color indexed="81"/>
            <rFont val="Tahoma"/>
            <family val="2"/>
          </rPr>
          <t xml:space="preserve">Momento resistenet max attorno all'asse Y tra tutte le 32 combinazioni di carico.
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Braccio della coppia interna esatto
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errore commesso inserendo 0,9 d al posto di Z il reale braccio della coppia interna.
Se c'è il segno negativo vuol dire che 0,9d sottostima il braccio interno, per cui è a vantaggio di sicurezza; in caso contrario lo sovrastima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Interasse tra i bracci della staffa più esterni, in direzione x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Braccio della coppia interna esatto
</t>
        </r>
      </text>
    </comment>
    <comment ref="Z2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Interasse tra i bracci della staffa più esterni, in direzione y</t>
        </r>
      </text>
    </comment>
  </commentList>
</comments>
</file>

<file path=xl/comments5.xml><?xml version="1.0" encoding="utf-8"?>
<comments xmlns="http://schemas.openxmlformats.org/spreadsheetml/2006/main">
  <authors>
    <author>Davide Cicchini</author>
    <author>Cics</author>
  </authors>
  <commentList>
    <comment ref="W2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negativa la sollecitazione è di trazione</t>
        </r>
      </text>
    </comment>
    <comment ref="G21" authorId="1" shapeId="0">
      <text>
        <r>
          <rPr>
            <b/>
            <sz val="16"/>
            <color indexed="81"/>
            <rFont val="Tahoma"/>
            <family val="2"/>
          </rPr>
          <t>Cics:</t>
        </r>
        <r>
          <rPr>
            <sz val="16"/>
            <color indexed="81"/>
            <rFont val="Tahoma"/>
            <family val="2"/>
          </rPr>
          <t xml:space="preserve">
 L'asse neutro tende a meno infinito
</t>
        </r>
      </text>
    </comment>
    <comment ref="G277" authorId="1" shapeId="0">
      <text>
        <r>
          <rPr>
            <b/>
            <sz val="16"/>
            <color indexed="81"/>
            <rFont val="Tahoma"/>
            <family val="2"/>
          </rPr>
          <t>Cics:</t>
        </r>
        <r>
          <rPr>
            <sz val="16"/>
            <color indexed="81"/>
            <rFont val="Tahoma"/>
            <family val="2"/>
          </rPr>
          <t xml:space="preserve">
L'asse neutro tende a più infinito</t>
        </r>
      </text>
    </comment>
  </commentList>
</comments>
</file>

<file path=xl/comments6.xml><?xml version="1.0" encoding="utf-8"?>
<comments xmlns="http://schemas.openxmlformats.org/spreadsheetml/2006/main">
  <authors>
    <author>Davide Cicchini</author>
    <author>Cics</author>
  </authors>
  <commentList>
    <comment ref="W20" authorId="0" shapeId="0">
      <text>
        <r>
          <rPr>
            <b/>
            <sz val="9"/>
            <color indexed="81"/>
            <rFont val="Tahoma"/>
            <family val="2"/>
          </rPr>
          <t>Davide Cicchini:</t>
        </r>
        <r>
          <rPr>
            <sz val="9"/>
            <color indexed="81"/>
            <rFont val="Tahoma"/>
            <family val="2"/>
          </rPr>
          <t xml:space="preserve">
se negativa la sollecitazione è di trazione</t>
        </r>
      </text>
    </comment>
    <comment ref="G21" authorId="1" shapeId="0">
      <text>
        <r>
          <rPr>
            <b/>
            <sz val="16"/>
            <color indexed="81"/>
            <rFont val="Tahoma"/>
            <family val="2"/>
          </rPr>
          <t>Cics:</t>
        </r>
        <r>
          <rPr>
            <sz val="16"/>
            <color indexed="81"/>
            <rFont val="Tahoma"/>
            <family val="2"/>
          </rPr>
          <t xml:space="preserve">
 L'asse neutro tende a meno infinito
</t>
        </r>
      </text>
    </comment>
    <comment ref="G277" authorId="1" shapeId="0">
      <text>
        <r>
          <rPr>
            <b/>
            <sz val="16"/>
            <color indexed="81"/>
            <rFont val="Tahoma"/>
            <family val="2"/>
          </rPr>
          <t>Cics:</t>
        </r>
        <r>
          <rPr>
            <sz val="16"/>
            <color indexed="81"/>
            <rFont val="Tahoma"/>
            <family val="2"/>
          </rPr>
          <t xml:space="preserve">
L'asse neutro tende a più infinito</t>
        </r>
      </text>
    </comment>
  </commentList>
</comments>
</file>

<file path=xl/sharedStrings.xml><?xml version="1.0" encoding="utf-8"?>
<sst xmlns="http://schemas.openxmlformats.org/spreadsheetml/2006/main" count="1188" uniqueCount="285">
  <si>
    <r>
      <t>f</t>
    </r>
    <r>
      <rPr>
        <vertAlign val="subscript"/>
        <sz val="12"/>
        <rFont val="Arial"/>
        <family val="2"/>
      </rPr>
      <t>yk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[N/mm2</t>
    </r>
    <r>
      <rPr>
        <sz val="12"/>
        <rFont val="Arial"/>
        <family val="2"/>
      </rPr>
      <t>]</t>
    </r>
  </si>
  <si>
    <r>
      <t>g</t>
    </r>
    <r>
      <rPr>
        <vertAlign val="subscript"/>
        <sz val="12"/>
        <rFont val="Arial"/>
        <family val="2"/>
      </rPr>
      <t>s</t>
    </r>
    <r>
      <rPr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</si>
  <si>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yd [N/mm2]</t>
    </r>
  </si>
  <si>
    <r>
      <t>R</t>
    </r>
    <r>
      <rPr>
        <vertAlign val="subscript"/>
        <sz val="10"/>
        <rFont val="Arial"/>
        <family val="2"/>
      </rPr>
      <t>ck</t>
    </r>
    <r>
      <rPr>
        <sz val="11"/>
        <color theme="1"/>
        <rFont val="Calibri"/>
        <family val="2"/>
        <scheme val="minor"/>
      </rPr>
      <t xml:space="preserve"> </t>
    </r>
    <r>
      <rPr>
        <vertAlign val="subscript"/>
        <sz val="10"/>
        <rFont val="Arial"/>
        <family val="2"/>
      </rPr>
      <t>[N/mm2]</t>
    </r>
  </si>
  <si>
    <r>
      <t>g</t>
    </r>
    <r>
      <rPr>
        <vertAlign val="subscript"/>
        <sz val="12"/>
        <rFont val="Arial"/>
        <family val="2"/>
      </rPr>
      <t>c</t>
    </r>
    <r>
      <rPr>
        <sz val="12"/>
        <rFont val="Arial"/>
        <family val="2"/>
      </rPr>
      <t xml:space="preserve"> </t>
    </r>
  </si>
  <si>
    <r>
      <t>a</t>
    </r>
    <r>
      <rPr>
        <vertAlign val="subscript"/>
        <sz val="12"/>
        <rFont val="Arial"/>
        <family val="2"/>
      </rPr>
      <t>cc</t>
    </r>
    <r>
      <rPr>
        <sz val="12"/>
        <rFont val="Arial"/>
        <family val="2"/>
      </rPr>
      <t xml:space="preserve"> </t>
    </r>
  </si>
  <si>
    <r>
      <t>f</t>
    </r>
    <r>
      <rPr>
        <vertAlign val="subscript"/>
        <sz val="12"/>
        <rFont val="Arial"/>
        <family val="2"/>
      </rPr>
      <t>cd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[N/mm2]</t>
    </r>
  </si>
  <si>
    <r>
      <t>f</t>
    </r>
    <r>
      <rPr>
        <vertAlign val="subscript"/>
        <sz val="12"/>
        <rFont val="Arial"/>
        <family val="2"/>
      </rPr>
      <t>ctm
[N/mm2]</t>
    </r>
  </si>
  <si>
    <r>
      <t>f</t>
    </r>
    <r>
      <rPr>
        <vertAlign val="subscript"/>
        <sz val="12"/>
        <rFont val="Arial"/>
        <family val="2"/>
      </rPr>
      <t>ctk
[N/mm2]</t>
    </r>
  </si>
  <si>
    <r>
      <t>f</t>
    </r>
    <r>
      <rPr>
        <vertAlign val="subscript"/>
        <sz val="12"/>
        <rFont val="Arial"/>
        <family val="2"/>
      </rPr>
      <t>ctd
[N/mm2]</t>
    </r>
  </si>
  <si>
    <r>
      <t>f</t>
    </r>
    <r>
      <rPr>
        <vertAlign val="subscript"/>
        <sz val="12"/>
        <rFont val="Arial"/>
        <family val="2"/>
      </rPr>
      <t>ck</t>
    </r>
    <r>
      <rPr>
        <sz val="12"/>
        <rFont val="Arial"/>
        <family val="2"/>
      </rPr>
      <t xml:space="preserve"> </t>
    </r>
    <r>
      <rPr>
        <vertAlign val="subscript"/>
        <sz val="12"/>
        <rFont val="Arial"/>
        <family val="2"/>
      </rPr>
      <t>[N/mm2]</t>
    </r>
  </si>
  <si>
    <t>d' [mm]</t>
  </si>
  <si>
    <t>bstx</t>
  </si>
  <si>
    <t>bsty</t>
  </si>
  <si>
    <t>Sollecitazione di taglio - direzione x</t>
  </si>
  <si>
    <t>Sezione</t>
  </si>
  <si>
    <t>VERIFICA</t>
  </si>
  <si>
    <t>ϑ</t>
  </si>
  <si>
    <t>cotan(ϑ)</t>
  </si>
  <si>
    <t>verifica</t>
  </si>
  <si>
    <t xml:space="preserve">staffe </t>
  </si>
  <si>
    <t>n. braccia</t>
  </si>
  <si>
    <t>s adot.</t>
  </si>
  <si>
    <t>y</t>
  </si>
  <si>
    <t>β2</t>
  </si>
  <si>
    <t>Cu</t>
  </si>
  <si>
    <t>C'</t>
  </si>
  <si>
    <t>z [mm]</t>
  </si>
  <si>
    <t>errore 0,9 d %</t>
  </si>
  <si>
    <t>(m)</t>
  </si>
  <si>
    <t>(kN-m)</t>
  </si>
  <si>
    <t>(kN)</t>
  </si>
  <si>
    <r>
      <t>(</t>
    </r>
    <r>
      <rPr>
        <b/>
        <sz val="10"/>
        <rFont val="Calibri"/>
        <family val="2"/>
      </rPr>
      <t>φ</t>
    </r>
    <r>
      <rPr>
        <b/>
        <sz val="10"/>
        <rFont val="Arial"/>
        <family val="2"/>
      </rPr>
      <t>)</t>
    </r>
  </si>
  <si>
    <t>(cm)</t>
  </si>
  <si>
    <t>Base</t>
  </si>
  <si>
    <t>Testa</t>
  </si>
  <si>
    <t>Sollecitazione di taglio - direzione Y</t>
  </si>
  <si>
    <t>s adottato</t>
  </si>
  <si>
    <t xml:space="preserve"> </t>
  </si>
  <si>
    <t>1-Dimensioni Pilastro</t>
  </si>
  <si>
    <t xml:space="preserve">3-Calcestruzzo </t>
  </si>
  <si>
    <t>Lp [m]</t>
  </si>
  <si>
    <t>testa</t>
  </si>
  <si>
    <t>CHECK COLLASSO</t>
  </si>
  <si>
    <t xml:space="preserve"> DOMINIO DI INTERAZIONE  </t>
  </si>
  <si>
    <t>legame costitutivo normativo a parabola-rettangolo (calcolo rigoroso)</t>
  </si>
  <si>
    <t>Definizione Dati:</t>
  </si>
  <si>
    <t>caratteristiche geometriche</t>
  </si>
  <si>
    <t>calcestruzzo</t>
  </si>
  <si>
    <t>acciaio</t>
  </si>
  <si>
    <t xml:space="preserve"> armatura longitudinale simmetrica</t>
  </si>
  <si>
    <t>b</t>
  </si>
  <si>
    <t>[mm]</t>
  </si>
  <si>
    <t>base</t>
  </si>
  <si>
    <t>Rck</t>
  </si>
  <si>
    <t>[Mpa]</t>
  </si>
  <si>
    <t>fyk</t>
  </si>
  <si>
    <t>H</t>
  </si>
  <si>
    <t>altezza totale</t>
  </si>
  <si>
    <t>γc</t>
  </si>
  <si>
    <t>[-]</t>
  </si>
  <si>
    <t>εud</t>
  </si>
  <si>
    <t>[‰]</t>
  </si>
  <si>
    <t>h'</t>
  </si>
  <si>
    <t>copriferro</t>
  </si>
  <si>
    <t>fcd</t>
  </si>
  <si>
    <t>εyd</t>
  </si>
  <si>
    <t>( dall'asse longitudinale del ferro)</t>
  </si>
  <si>
    <t>As</t>
  </si>
  <si>
    <r>
      <t>[mm</t>
    </r>
    <r>
      <rPr>
        <b/>
        <sz val="16"/>
        <color theme="1"/>
        <rFont val="Calibri"/>
        <family val="2"/>
      </rPr>
      <t>²</t>
    </r>
    <r>
      <rPr>
        <b/>
        <sz val="16"/>
        <color theme="1"/>
        <rFont val="Calibri"/>
        <family val="2"/>
        <scheme val="minor"/>
      </rPr>
      <t>]</t>
    </r>
  </si>
  <si>
    <t>εcu</t>
  </si>
  <si>
    <t>γs</t>
  </si>
  <si>
    <t>As'</t>
  </si>
  <si>
    <t>d</t>
  </si>
  <si>
    <t>altezza utile</t>
  </si>
  <si>
    <t>ω</t>
  </si>
  <si>
    <t>εc2</t>
  </si>
  <si>
    <t>fyd</t>
  </si>
  <si>
    <t>ω'</t>
  </si>
  <si>
    <t>αcc</t>
  </si>
  <si>
    <t>Es</t>
  </si>
  <si>
    <t xml:space="preserve"> legame elastico lineare- perfettamente plastico</t>
  </si>
  <si>
    <t>Sviluppo Dati:</t>
  </si>
  <si>
    <t>εc[-]</t>
  </si>
  <si>
    <t>εs[-]</t>
  </si>
  <si>
    <t>ε's[-]</t>
  </si>
  <si>
    <t>ε'c[-]</t>
  </si>
  <si>
    <t>Y[mm]</t>
  </si>
  <si>
    <t>A(σ-ε)</t>
  </si>
  <si>
    <t>Sy(σ-ε)</t>
  </si>
  <si>
    <t>β1</t>
  </si>
  <si>
    <t>C'  [N]</t>
  </si>
  <si>
    <t>Cu  [N]</t>
  </si>
  <si>
    <t>T  [N]</t>
  </si>
  <si>
    <t>NRd  [N]</t>
  </si>
  <si>
    <t>MRd  [N*mm]</t>
  </si>
  <si>
    <t>ν   [-]</t>
  </si>
  <si>
    <t>μ  [-]</t>
  </si>
  <si>
    <t xml:space="preserve"> - μ  [-]</t>
  </si>
  <si>
    <t>e  [mm]</t>
  </si>
  <si>
    <t>e/d [-]</t>
  </si>
  <si>
    <t>nocciolo</t>
  </si>
  <si>
    <t>NRd  [kN]</t>
  </si>
  <si>
    <t>MRd  [kN*m]</t>
  </si>
  <si>
    <t>C'+T  [N]</t>
  </si>
  <si>
    <t xml:space="preserve">Rottura Bilanciata </t>
  </si>
  <si>
    <t>CAMPO 1</t>
  </si>
  <si>
    <t>&gt; 0,0000</t>
  </si>
  <si>
    <t>CAMPO 2</t>
  </si>
  <si>
    <t>CAMPO 3-4-4a</t>
  </si>
  <si>
    <t>CAMPO 5</t>
  </si>
  <si>
    <t>Davide Cicchini</t>
  </si>
  <si>
    <t>Cu  forza interna alla sezione dovuta al calcestruzzo compresso</t>
  </si>
  <si>
    <t>C' forza interna dovuta all'armatura compressa</t>
  </si>
  <si>
    <t>T forza interna dovuta all'acciaio teso</t>
  </si>
  <si>
    <t>INPUT</t>
  </si>
  <si>
    <t>Verifica limite di compressione</t>
  </si>
  <si>
    <t>Armatura</t>
  </si>
  <si>
    <t>n°</t>
  </si>
  <si>
    <t>F</t>
  </si>
  <si>
    <t>Verifica quantitativi di armatura §4.1.6.1.2 e §7.4.6.2.2</t>
  </si>
  <si>
    <r>
      <t>A</t>
    </r>
    <r>
      <rPr>
        <vertAlign val="subscript"/>
        <sz val="16"/>
        <rFont val="Arial"/>
        <family val="2"/>
      </rPr>
      <t>s x</t>
    </r>
  </si>
  <si>
    <t>LUNGO x</t>
  </si>
  <si>
    <r>
      <t>A</t>
    </r>
    <r>
      <rPr>
        <vertAlign val="subscript"/>
        <sz val="13"/>
        <rFont val="Arial"/>
        <family val="2"/>
      </rPr>
      <t>s,TOT</t>
    </r>
  </si>
  <si>
    <r>
      <t>A</t>
    </r>
    <r>
      <rPr>
        <vertAlign val="subscript"/>
        <sz val="13"/>
        <rFont val="Arial"/>
        <family val="2"/>
      </rPr>
      <t>s,min</t>
    </r>
  </si>
  <si>
    <r>
      <t>0,003 A</t>
    </r>
    <r>
      <rPr>
        <vertAlign val="subscript"/>
        <sz val="13"/>
        <rFont val="Arial"/>
        <family val="2"/>
      </rPr>
      <t>c</t>
    </r>
  </si>
  <si>
    <r>
      <t>A</t>
    </r>
    <r>
      <rPr>
        <vertAlign val="subscript"/>
        <sz val="13"/>
        <rFont val="Arial"/>
        <family val="2"/>
      </rPr>
      <t>s</t>
    </r>
    <r>
      <rPr>
        <sz val="13"/>
        <color theme="1"/>
        <rFont val="Calibri"/>
        <family val="2"/>
        <scheme val="minor"/>
      </rPr>
      <t xml:space="preserve"> &gt;(A</t>
    </r>
    <r>
      <rPr>
        <vertAlign val="subscript"/>
        <sz val="13"/>
        <rFont val="Arial"/>
        <family val="2"/>
      </rPr>
      <t>s,min</t>
    </r>
    <r>
      <rPr>
        <sz val="13"/>
        <color theme="1"/>
        <rFont val="Calibri"/>
        <family val="2"/>
        <scheme val="minor"/>
      </rPr>
      <t>;0,3%A</t>
    </r>
    <r>
      <rPr>
        <vertAlign val="subscript"/>
        <sz val="13"/>
        <rFont val="Arial"/>
        <family val="2"/>
      </rPr>
      <t>c</t>
    </r>
    <r>
      <rPr>
        <sz val="13"/>
        <color theme="1"/>
        <rFont val="Calibri"/>
        <family val="2"/>
        <scheme val="minor"/>
      </rPr>
      <t>)</t>
    </r>
  </si>
  <si>
    <r>
      <t>A</t>
    </r>
    <r>
      <rPr>
        <vertAlign val="subscript"/>
        <sz val="13"/>
        <rFont val="Arial"/>
        <family val="2"/>
      </rPr>
      <t>s,max</t>
    </r>
  </si>
  <si>
    <r>
      <t>A</t>
    </r>
    <r>
      <rPr>
        <vertAlign val="subscript"/>
        <sz val="13"/>
        <rFont val="Arial"/>
        <family val="2"/>
      </rPr>
      <t>s</t>
    </r>
    <r>
      <rPr>
        <sz val="13"/>
        <color theme="1"/>
        <rFont val="Calibri"/>
        <family val="2"/>
        <scheme val="minor"/>
      </rPr>
      <t xml:space="preserve"> &lt;A</t>
    </r>
    <r>
      <rPr>
        <vertAlign val="subscript"/>
        <sz val="13"/>
        <rFont val="Arial"/>
        <family val="2"/>
      </rPr>
      <t>s,max</t>
    </r>
  </si>
  <si>
    <t>r</t>
  </si>
  <si>
    <r>
      <t>1%≤</t>
    </r>
    <r>
      <rPr>
        <sz val="13"/>
        <rFont val="Symbol"/>
        <family val="1"/>
        <charset val="2"/>
      </rPr>
      <t>r</t>
    </r>
    <r>
      <rPr>
        <sz val="13"/>
        <rFont val="Arial"/>
        <family val="2"/>
      </rPr>
      <t>≤4%</t>
    </r>
  </si>
  <si>
    <t>LUNGO y</t>
  </si>
  <si>
    <r>
      <t>(mm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)</t>
    </r>
  </si>
  <si>
    <t xml:space="preserve"> (%)</t>
  </si>
  <si>
    <r>
      <t>A</t>
    </r>
    <r>
      <rPr>
        <vertAlign val="subscript"/>
        <sz val="16"/>
        <rFont val="Arial"/>
        <family val="2"/>
      </rPr>
      <t>s y</t>
    </r>
  </si>
  <si>
    <t>NUMERO DI BARRE TOTALI</t>
  </si>
  <si>
    <t>PROGETTO PER LA SEZIONE DI BASE LE ARMATURE ARRIVANO FINO IN TESTA</t>
  </si>
  <si>
    <t>Pressoflessione</t>
  </si>
  <si>
    <t>PROGETTO A PRESSOFLESSIONE</t>
  </si>
  <si>
    <t>Direzione X</t>
  </si>
  <si>
    <t>Direzione y</t>
  </si>
  <si>
    <t>N°verifiche NON soddisfatte</t>
  </si>
  <si>
    <t>Ved &lt; VRsd</t>
  </si>
  <si>
    <t>PASSO</t>
  </si>
  <si>
    <t>CD</t>
  </si>
  <si>
    <r>
      <t>g</t>
    </r>
    <r>
      <rPr>
        <vertAlign val="subscript"/>
        <sz val="12"/>
        <rFont val="Arial"/>
        <family val="2"/>
      </rPr>
      <t>Rd  CD"B"</t>
    </r>
  </si>
  <si>
    <r>
      <t>g</t>
    </r>
    <r>
      <rPr>
        <vertAlign val="subscript"/>
        <sz val="12"/>
        <rFont val="Arial"/>
        <family val="2"/>
      </rPr>
      <t>Rd  CD"A"</t>
    </r>
  </si>
  <si>
    <t>Scegli se alta o bassa duttilità</t>
  </si>
  <si>
    <t>ν ≤ 0,65(CD"B")≤ 0,55(CD"A")</t>
  </si>
  <si>
    <r>
      <t>V</t>
    </r>
    <r>
      <rPr>
        <b/>
        <vertAlign val="subscript"/>
        <sz val="11"/>
        <rFont val="Arial"/>
        <family val="2"/>
      </rPr>
      <t>Rtd</t>
    </r>
  </si>
  <si>
    <r>
      <t>M</t>
    </r>
    <r>
      <rPr>
        <b/>
        <vertAlign val="subscript"/>
        <sz val="11"/>
        <rFont val="Arial"/>
        <family val="2"/>
      </rPr>
      <t>C,Rd x</t>
    </r>
  </si>
  <si>
    <r>
      <t>A</t>
    </r>
    <r>
      <rPr>
        <b/>
        <vertAlign val="subscript"/>
        <sz val="11"/>
        <rFont val="Arial"/>
        <family val="2"/>
      </rPr>
      <t xml:space="preserve">st </t>
    </r>
  </si>
  <si>
    <t>VRtd&lt;VRcd</t>
  </si>
  <si>
    <r>
      <t>(</t>
    </r>
    <r>
      <rPr>
        <b/>
        <sz val="11"/>
        <rFont val="Calibri"/>
        <family val="2"/>
      </rPr>
      <t>φ</t>
    </r>
    <r>
      <rPr>
        <b/>
        <sz val="11"/>
        <rFont val="Arial"/>
        <family val="2"/>
      </rPr>
      <t>)</t>
    </r>
  </si>
  <si>
    <r>
      <t>l</t>
    </r>
    <r>
      <rPr>
        <b/>
        <vertAlign val="subscript"/>
        <sz val="11"/>
        <rFont val="Arial"/>
        <family val="2"/>
      </rPr>
      <t>P</t>
    </r>
  </si>
  <si>
    <r>
      <t>V</t>
    </r>
    <r>
      <rPr>
        <b/>
        <vertAlign val="subscript"/>
        <sz val="11"/>
        <rFont val="Arial"/>
        <family val="2"/>
      </rPr>
      <t>Ed X</t>
    </r>
  </si>
  <si>
    <r>
      <t>M</t>
    </r>
    <r>
      <rPr>
        <b/>
        <vertAlign val="subscript"/>
        <sz val="11"/>
        <rFont val="Arial"/>
        <family val="2"/>
      </rPr>
      <t>C,Rd y</t>
    </r>
  </si>
  <si>
    <r>
      <t>V</t>
    </r>
    <r>
      <rPr>
        <b/>
        <vertAlign val="subscript"/>
        <sz val="11"/>
        <rFont val="Arial"/>
        <family val="2"/>
      </rPr>
      <t>Ed Y</t>
    </r>
  </si>
  <si>
    <t>check</t>
  </si>
  <si>
    <t>k fcd/fyd bstx s</t>
  </si>
  <si>
    <t>k fcd/fyd bsty s</t>
  </si>
  <si>
    <t>Nsd</t>
  </si>
  <si>
    <r>
      <t>M</t>
    </r>
    <r>
      <rPr>
        <vertAlign val="subscript"/>
        <sz val="10"/>
        <rFont val="Arial"/>
        <family val="2"/>
      </rPr>
      <t>rdx</t>
    </r>
    <r>
      <rPr>
        <sz val="11"/>
        <color theme="1"/>
        <rFont val="Calibri"/>
        <family val="2"/>
        <scheme val="minor"/>
      </rPr>
      <t>(N</t>
    </r>
    <r>
      <rPr>
        <vertAlign val="subscript"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)</t>
    </r>
  </si>
  <si>
    <r>
      <t>M</t>
    </r>
    <r>
      <rPr>
        <vertAlign val="subscript"/>
        <sz val="10"/>
        <rFont val="Arial"/>
        <family val="2"/>
      </rPr>
      <t>rdy</t>
    </r>
    <r>
      <rPr>
        <sz val="11"/>
        <color theme="1"/>
        <rFont val="Calibri"/>
        <family val="2"/>
        <scheme val="minor"/>
      </rPr>
      <t>(N</t>
    </r>
    <r>
      <rPr>
        <vertAlign val="subscript"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)</t>
    </r>
  </si>
  <si>
    <t>Momento Resistente</t>
  </si>
  <si>
    <t>mm2</t>
  </si>
  <si>
    <t xml:space="preserve">PROGETTO A TAGLIO </t>
  </si>
  <si>
    <t>VEd&lt;VRsd</t>
  </si>
  <si>
    <t>scegli G oppure N</t>
  </si>
  <si>
    <t>G</t>
  </si>
  <si>
    <t>*Si ricorda che il massimo interasse tra le barre longitudinali è 25 cm, disporre il numero di braccia secondo questa limitazione.</t>
  </si>
  <si>
    <t>L'armatura è considerata simmetrica sia per la direzione x che per la direzione y.</t>
  </si>
  <si>
    <t xml:space="preserve">nonché la verifica a taglio per una sezione rettangolare in calcestruzzo armato. </t>
  </si>
  <si>
    <t>calcestruzzo e il legame elasto-plastico per l'acciaio.</t>
  </si>
  <si>
    <t>I limiti inseriti per le verifiche sono quelli prescritti dalle NTC del 2008.</t>
  </si>
  <si>
    <t>Ing. Davide Cicchini</t>
  </si>
  <si>
    <t xml:space="preserve">2-Acciaio </t>
  </si>
  <si>
    <t xml:space="preserve">4-Classe di duttilità </t>
  </si>
  <si>
    <t>scegli R oppure D</t>
  </si>
  <si>
    <t>5.1-Pressoflessione retta ( R ) o deviata ( D )?</t>
  </si>
  <si>
    <t>*L'armatura sia in direzione x che y si riferisce solo ad una estremità, al lato opposto si deve predisporre lo stesso quantitativo di armatura.</t>
  </si>
  <si>
    <t>D</t>
  </si>
  <si>
    <t>B [mm] (x)</t>
  </si>
  <si>
    <t>H [mm] (y)</t>
  </si>
  <si>
    <t>Interferro</t>
  </si>
  <si>
    <t>mm</t>
  </si>
  <si>
    <t>lungo x</t>
  </si>
  <si>
    <t>lungo y</t>
  </si>
  <si>
    <t xml:space="preserve">check </t>
  </si>
  <si>
    <r>
      <t>M</t>
    </r>
    <r>
      <rPr>
        <b/>
        <vertAlign val="subscript"/>
        <sz val="10"/>
        <rFont val="Arial"/>
        <family val="2"/>
      </rPr>
      <t>Sd x</t>
    </r>
  </si>
  <si>
    <r>
      <t>M</t>
    </r>
    <r>
      <rPr>
        <b/>
        <vertAlign val="subscript"/>
        <sz val="10"/>
        <rFont val="Arial"/>
        <family val="2"/>
      </rPr>
      <t>Sd y</t>
    </r>
  </si>
  <si>
    <r>
      <t>N</t>
    </r>
    <r>
      <rPr>
        <b/>
        <vertAlign val="subscript"/>
        <sz val="10"/>
        <rFont val="Arial"/>
        <family val="2"/>
      </rPr>
      <t xml:space="preserve">Sd </t>
    </r>
  </si>
  <si>
    <t>x</t>
  </si>
  <si>
    <t>I</t>
  </si>
  <si>
    <t>II</t>
  </si>
  <si>
    <t>III</t>
  </si>
  <si>
    <t>IV</t>
  </si>
  <si>
    <t>pseudo ellisse di ghersi</t>
  </si>
  <si>
    <t>rombo NTC</t>
  </si>
  <si>
    <t>ellisse</t>
  </si>
  <si>
    <t>**La direzione x e la direzione y hanno i ferri posizionati sugli angoli in comune, non bisogna contarli due volte</t>
  </si>
  <si>
    <t>B</t>
  </si>
  <si>
    <t>www.davidecicchini.it</t>
  </si>
  <si>
    <t>A</t>
  </si>
  <si>
    <t>N</t>
  </si>
  <si>
    <t>R</t>
  </si>
  <si>
    <t>versione 1.1</t>
  </si>
  <si>
    <t>Classe di duttilità alta CD"A"</t>
  </si>
  <si>
    <t>hpil</t>
  </si>
  <si>
    <t>Altezza libera del pilastro</t>
  </si>
  <si>
    <t>Deformazione ultima</t>
  </si>
  <si>
    <t>Deformazione allo snervamento</t>
  </si>
  <si>
    <t>Acciaio:</t>
  </si>
  <si>
    <t>εctu</t>
  </si>
  <si>
    <t>Deformazione ultima a trazione</t>
  </si>
  <si>
    <t>Deformazione ultima (tratto rettangolare)</t>
  </si>
  <si>
    <t>Deformazione limite del tratta parabolico</t>
  </si>
  <si>
    <t>Calcestruzzo:</t>
  </si>
  <si>
    <t>3 DEFORMAZIONI LIMITE DEI MATERIALI</t>
  </si>
  <si>
    <r>
      <t>E</t>
    </r>
    <r>
      <rPr>
        <b/>
        <sz val="9"/>
        <color theme="1"/>
        <rFont val="Calibri"/>
        <family val="2"/>
        <scheme val="minor"/>
      </rPr>
      <t>c</t>
    </r>
  </si>
  <si>
    <t xml:space="preserve">Modulo di Young </t>
  </si>
  <si>
    <r>
      <t>f</t>
    </r>
    <r>
      <rPr>
        <b/>
        <sz val="8"/>
        <color theme="1"/>
        <rFont val="Calibri"/>
        <family val="2"/>
        <scheme val="minor"/>
      </rPr>
      <t>y,d</t>
    </r>
  </si>
  <si>
    <t>Resistenza  di calcolo</t>
  </si>
  <si>
    <r>
      <t>f</t>
    </r>
    <r>
      <rPr>
        <b/>
        <sz val="8"/>
        <color theme="1"/>
        <rFont val="Calibri"/>
        <family val="2"/>
        <scheme val="minor"/>
      </rPr>
      <t>y,k</t>
    </r>
  </si>
  <si>
    <t>Tensione di snervamento</t>
  </si>
  <si>
    <r>
      <t>f</t>
    </r>
    <r>
      <rPr>
        <b/>
        <sz val="8"/>
        <color theme="1"/>
        <rFont val="Calibri"/>
        <family val="2"/>
        <scheme val="minor"/>
      </rPr>
      <t>k</t>
    </r>
  </si>
  <si>
    <t>Tensione di Rottura</t>
  </si>
  <si>
    <t>Fe B450C</t>
  </si>
  <si>
    <t>Tipo Acciaio</t>
  </si>
  <si>
    <t>α</t>
  </si>
  <si>
    <t xml:space="preserve"> prolungati nel tempo</t>
  </si>
  <si>
    <t>Coef. di riduzione della resistenza, per carichi</t>
  </si>
  <si>
    <r>
      <t>f</t>
    </r>
    <r>
      <rPr>
        <b/>
        <sz val="9"/>
        <color theme="1"/>
        <rFont val="Calibri"/>
        <family val="2"/>
        <scheme val="minor"/>
      </rPr>
      <t>b,d</t>
    </r>
  </si>
  <si>
    <t>Resistenza tangenziale di calcolo</t>
  </si>
  <si>
    <r>
      <t>f</t>
    </r>
    <r>
      <rPr>
        <b/>
        <sz val="8"/>
        <color theme="1"/>
        <rFont val="Calibri"/>
        <family val="2"/>
        <scheme val="minor"/>
      </rPr>
      <t>ct,d</t>
    </r>
  </si>
  <si>
    <t>Resistenza a trazione di calcolo</t>
  </si>
  <si>
    <r>
      <t>f</t>
    </r>
    <r>
      <rPr>
        <b/>
        <sz val="8"/>
        <color theme="1"/>
        <rFont val="Calibri"/>
        <family val="2"/>
        <scheme val="minor"/>
      </rPr>
      <t>ct,k</t>
    </r>
  </si>
  <si>
    <t>Resistenza a trazione media</t>
  </si>
  <si>
    <r>
      <t>f</t>
    </r>
    <r>
      <rPr>
        <b/>
        <sz val="8"/>
        <color theme="1"/>
        <rFont val="Calibri"/>
        <family val="2"/>
        <scheme val="minor"/>
      </rPr>
      <t>ct,m</t>
    </r>
  </si>
  <si>
    <t>Resistenza a trazione caratteristica</t>
  </si>
  <si>
    <r>
      <t>f</t>
    </r>
    <r>
      <rPr>
        <b/>
        <sz val="8"/>
        <color theme="1"/>
        <rFont val="Calibri"/>
        <family val="2"/>
        <scheme val="minor"/>
      </rPr>
      <t>c,d</t>
    </r>
  </si>
  <si>
    <t>Resistenza cilindrica di calcolo</t>
  </si>
  <si>
    <r>
      <t>f</t>
    </r>
    <r>
      <rPr>
        <b/>
        <sz val="8"/>
        <color theme="1"/>
        <rFont val="Calibri"/>
        <family val="2"/>
        <scheme val="minor"/>
      </rPr>
      <t>c,k</t>
    </r>
  </si>
  <si>
    <t>Resistenza cilindrica caratteristica</t>
  </si>
  <si>
    <r>
      <t>f</t>
    </r>
    <r>
      <rPr>
        <b/>
        <sz val="8"/>
        <color theme="1"/>
        <rFont val="Calibri"/>
        <family val="2"/>
        <scheme val="minor"/>
      </rPr>
      <t>c,m</t>
    </r>
  </si>
  <si>
    <t>Resistenza cilindrica media</t>
  </si>
  <si>
    <r>
      <t>R</t>
    </r>
    <r>
      <rPr>
        <b/>
        <sz val="8"/>
        <color theme="1"/>
        <rFont val="Calibri"/>
        <family val="2"/>
        <scheme val="minor"/>
      </rPr>
      <t>c,k</t>
    </r>
  </si>
  <si>
    <t>Resistenza cubica caratteristica</t>
  </si>
  <si>
    <t>C25/30</t>
  </si>
  <si>
    <t>Classe di resistenza</t>
  </si>
  <si>
    <t>2 RESISTENZE DEI MATERIALI</t>
  </si>
  <si>
    <t>Altezza utile</t>
  </si>
  <si>
    <t>d'</t>
  </si>
  <si>
    <t>Altezza</t>
  </si>
  <si>
    <t>1 GEOMETRIA SEZIONE</t>
  </si>
  <si>
    <t>Classe di duttilità bassa CD"B"</t>
  </si>
  <si>
    <t>C50/60</t>
  </si>
  <si>
    <t>C45/55</t>
  </si>
  <si>
    <r>
      <t>N/mm</t>
    </r>
    <r>
      <rPr>
        <vertAlign val="superscript"/>
        <sz val="10"/>
        <rFont val="Arial"/>
        <family val="2"/>
      </rPr>
      <t>2</t>
    </r>
  </si>
  <si>
    <r>
      <t>f</t>
    </r>
    <r>
      <rPr>
        <b/>
        <vertAlign val="subscript"/>
        <sz val="10"/>
        <rFont val="Arial"/>
        <family val="2"/>
      </rPr>
      <t>yk =</t>
    </r>
  </si>
  <si>
    <t>C40/50</t>
  </si>
  <si>
    <t>C35/45</t>
  </si>
  <si>
    <t>C32/40</t>
  </si>
  <si>
    <t>C28/35</t>
  </si>
  <si>
    <t>C20/25</t>
  </si>
  <si>
    <t>C16/20</t>
  </si>
  <si>
    <t>Fe B44k</t>
  </si>
  <si>
    <t>C12/15</t>
  </si>
  <si>
    <t>C8/10</t>
  </si>
  <si>
    <t>SFORZO NORMALE</t>
  </si>
  <si>
    <t>Copriferro di progetto</t>
  </si>
  <si>
    <t xml:space="preserve">Il foglio di calcolo esegue la verifica a pressoflessione deviata e retta, </t>
  </si>
  <si>
    <t xml:space="preserve">Il calcolo viene eseguito considerando il legame parabola-rettangolo per il </t>
  </si>
  <si>
    <t>Si possono modificare solo le celle con il bordo doppio.</t>
  </si>
  <si>
    <t>Pressoflessione retta</t>
  </si>
  <si>
    <t>Pressoflessione deviata</t>
  </si>
  <si>
    <t>quanto prescritto dalle NTC08 ?</t>
  </si>
  <si>
    <t>Ghersi</t>
  </si>
  <si>
    <t>NTC08</t>
  </si>
  <si>
    <t>4 CLASSE DI DUTTILITA'</t>
  </si>
  <si>
    <t>5 SOLLECITAZIONI</t>
  </si>
  <si>
    <t>5.1-Definire il tipo di sollecitazione</t>
  </si>
  <si>
    <t>6 TIPO DI VERIFICA</t>
  </si>
  <si>
    <t xml:space="preserve">6.1-Si vuole eseguire la verifica secondo quanto consigliato da Aurelio Ghersi oppure secondo </t>
  </si>
  <si>
    <t>5.1-Inserire le sollecitazioni (compressione positiva)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</si>
</sst>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00"/>
    <numFmt numFmtId="165" formatCode="0.0"/>
    <numFmt numFmtId="166" formatCode="0.0000"/>
    <numFmt numFmtId="167" formatCode="0.0000000"/>
    <numFmt numFmtId="168" formatCode="0.00000"/>
    <numFmt numFmtId="169" formatCode="0&quot; mm&quot;"/>
    <numFmt numFmtId="170" formatCode="0&quot; N/mm²&quot;"/>
    <numFmt numFmtId="171" formatCode="0.00&quot; ‰&quot;"/>
    <numFmt numFmtId="172" formatCode="0.0&quot; N/mm²&quot;"/>
    <numFmt numFmtId="173" formatCode="0.00&quot; N/mm²&quot;"/>
    <numFmt numFmtId="174" formatCode="0.00&quot; m&quot;"/>
    <numFmt numFmtId="175" formatCode="0.0&quot; kNm&quot;"/>
  </numFmts>
  <fonts count="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GreekS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Calibri"/>
      <family val="2"/>
    </font>
    <font>
      <sz val="10"/>
      <color theme="0" tint="-0.3499862666707357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i/>
      <sz val="48"/>
      <color theme="1"/>
      <name val="Algerian"/>
      <family val="5"/>
    </font>
    <font>
      <sz val="48"/>
      <color theme="1"/>
      <name val="Algerian"/>
      <family val="5"/>
    </font>
    <font>
      <b/>
      <i/>
      <sz val="22"/>
      <color theme="1"/>
      <name val="Calibri"/>
      <family val="2"/>
      <scheme val="minor"/>
    </font>
    <font>
      <b/>
      <u/>
      <sz val="22"/>
      <color rgb="FFFF0000"/>
      <name val="Andalus"/>
      <family val="1"/>
    </font>
    <font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  <font>
      <b/>
      <u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i/>
      <u/>
      <sz val="20"/>
      <color theme="1"/>
      <name val="Calibri"/>
      <family val="2"/>
      <scheme val="minor"/>
    </font>
    <font>
      <sz val="28"/>
      <color theme="1"/>
      <name val="French Script MT"/>
      <family val="4"/>
    </font>
    <font>
      <sz val="18"/>
      <color theme="1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0"/>
      <color indexed="61"/>
      <name val="Arial"/>
      <family val="2"/>
    </font>
    <font>
      <sz val="14"/>
      <name val="Symbol"/>
      <family val="1"/>
      <charset val="2"/>
    </font>
    <font>
      <vertAlign val="subscript"/>
      <sz val="16"/>
      <name val="Arial"/>
      <family val="2"/>
    </font>
    <font>
      <sz val="11"/>
      <color theme="1"/>
      <name val="Calibri"/>
      <family val="2"/>
    </font>
    <font>
      <b/>
      <sz val="14"/>
      <color indexed="57"/>
      <name val="Arial"/>
      <family val="2"/>
    </font>
    <font>
      <sz val="13"/>
      <color theme="1"/>
      <name val="Calibri"/>
      <family val="2"/>
      <scheme val="minor"/>
    </font>
    <font>
      <vertAlign val="subscript"/>
      <sz val="13"/>
      <name val="Arial"/>
      <family val="2"/>
    </font>
    <font>
      <sz val="13"/>
      <name val="Symbol"/>
      <family val="1"/>
      <charset val="2"/>
    </font>
    <font>
      <sz val="13"/>
      <name val="Arial"/>
      <family val="2"/>
    </font>
    <font>
      <b/>
      <sz val="12"/>
      <color theme="1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i/>
      <sz val="12"/>
      <name val="Arial"/>
      <family val="2"/>
    </font>
    <font>
      <sz val="10"/>
      <color indexed="61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bscript"/>
      <sz val="11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6"/>
      <name val="Symbol"/>
      <family val="1"/>
      <charset val="2"/>
    </font>
    <font>
      <b/>
      <sz val="16"/>
      <name val="Symbol"/>
      <family val="1"/>
      <charset val="2"/>
    </font>
    <font>
      <b/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CFB2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rgb="FF00B0F0"/>
      </bottom>
      <diagonal/>
    </border>
    <border>
      <left/>
      <right style="thin">
        <color theme="1"/>
      </right>
      <top/>
      <bottom style="thin">
        <color rgb="FF00B0F0"/>
      </bottom>
      <diagonal/>
    </border>
    <border>
      <left/>
      <right style="thin">
        <color auto="1"/>
      </right>
      <top/>
      <bottom style="thin">
        <color rgb="FF00B0F0"/>
      </bottom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auto="1"/>
      </right>
      <top style="thin">
        <color rgb="FF00B0F0"/>
      </top>
      <bottom style="thin">
        <color rgb="FF00B0F0"/>
      </bottom>
      <diagonal/>
    </border>
    <border>
      <left/>
      <right/>
      <top/>
      <bottom style="medium">
        <color rgb="FF7CFB25"/>
      </bottom>
      <diagonal/>
    </border>
    <border>
      <left/>
      <right/>
      <top/>
      <bottom style="medium">
        <color rgb="FF92D05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2" fillId="0" borderId="0" applyNumberFormat="0" applyFill="0" applyBorder="0" applyAlignment="0" applyProtection="0"/>
  </cellStyleXfs>
  <cellXfs count="427">
    <xf numFmtId="0" fontId="0" fillId="0" borderId="0" xfId="0"/>
    <xf numFmtId="2" fontId="2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 vertical="distributed"/>
    </xf>
    <xf numFmtId="0" fontId="0" fillId="0" borderId="0" xfId="0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distributed"/>
    </xf>
    <xf numFmtId="2" fontId="0" fillId="0" borderId="0" xfId="0" applyNumberFormat="1" applyBorder="1" applyAlignment="1">
      <alignment horizontal="center"/>
    </xf>
    <xf numFmtId="2" fontId="7" fillId="2" borderId="0" xfId="0" applyNumberFormat="1" applyFont="1" applyFill="1" applyBorder="1" applyAlignment="1">
      <alignment horizontal="center" vertical="distributed"/>
    </xf>
    <xf numFmtId="2" fontId="3" fillId="2" borderId="0" xfId="0" applyNumberFormat="1" applyFont="1" applyFill="1" applyBorder="1" applyAlignment="1">
      <alignment horizontal="center" vertical="distributed"/>
    </xf>
    <xf numFmtId="2" fontId="5" fillId="2" borderId="0" xfId="0" applyNumberFormat="1" applyFont="1" applyFill="1" applyBorder="1" applyAlignment="1">
      <alignment horizontal="center" vertical="distributed"/>
    </xf>
    <xf numFmtId="0" fontId="2" fillId="0" borderId="0" xfId="0" applyFont="1" applyBorder="1"/>
    <xf numFmtId="0" fontId="0" fillId="0" borderId="0" xfId="0" applyBorder="1" applyAlignment="1">
      <alignment horizontal="right"/>
    </xf>
    <xf numFmtId="2" fontId="0" fillId="2" borderId="0" xfId="0" applyNumberFormat="1" applyFill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34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/>
    <xf numFmtId="1" fontId="0" fillId="0" borderId="49" xfId="0" applyNumberFormat="1" applyBorder="1" applyAlignment="1">
      <alignment horizontal="center" vertical="distributed"/>
    </xf>
    <xf numFmtId="2" fontId="0" fillId="0" borderId="49" xfId="0" applyNumberFormat="1" applyBorder="1" applyAlignment="1">
      <alignment horizontal="center" vertical="distributed"/>
    </xf>
    <xf numFmtId="2" fontId="0" fillId="0" borderId="49" xfId="0" applyNumberForma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0" fillId="0" borderId="0" xfId="0" applyBorder="1" applyProtection="1">
      <protection hidden="1"/>
    </xf>
    <xf numFmtId="0" fontId="25" fillId="0" borderId="11" xfId="0" applyFont="1" applyBorder="1" applyProtection="1">
      <protection hidden="1"/>
    </xf>
    <xf numFmtId="0" fontId="25" fillId="0" borderId="0" xfId="0" applyFont="1" applyBorder="1" applyProtection="1">
      <protection hidden="1"/>
    </xf>
    <xf numFmtId="0" fontId="0" fillId="0" borderId="17" xfId="0" applyBorder="1" applyProtection="1">
      <protection hidden="1"/>
    </xf>
    <xf numFmtId="0" fontId="1" fillId="0" borderId="11" xfId="0" applyFont="1" applyBorder="1" applyProtection="1">
      <protection hidden="1"/>
    </xf>
    <xf numFmtId="0" fontId="0" fillId="0" borderId="11" xfId="0" applyBorder="1" applyProtection="1"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5" fillId="0" borderId="11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25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164" fontId="30" fillId="0" borderId="0" xfId="0" applyNumberFormat="1" applyFont="1" applyAlignment="1" applyProtection="1">
      <alignment horizontal="center" vertical="center"/>
      <protection hidden="1"/>
    </xf>
    <xf numFmtId="165" fontId="25" fillId="0" borderId="0" xfId="0" applyNumberFormat="1" applyFont="1" applyBorder="1" applyAlignment="1" applyProtection="1">
      <alignment horizontal="center" vertical="center"/>
      <protection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 horizontal="right"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7" xfId="0" applyFont="1" applyBorder="1" applyProtection="1"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1" fontId="25" fillId="0" borderId="0" xfId="0" applyNumberFormat="1" applyFont="1" applyBorder="1" applyAlignment="1" applyProtection="1">
      <alignment horizontal="center"/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27" xfId="0" applyBorder="1" applyProtection="1">
      <protection hidden="1"/>
    </xf>
    <xf numFmtId="0" fontId="1" fillId="0" borderId="28" xfId="0" applyFont="1" applyBorder="1" applyProtection="1"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25" fillId="0" borderId="8" xfId="0" applyFont="1" applyBorder="1" applyAlignment="1" applyProtection="1">
      <alignment horizontal="center" vertical="center"/>
      <protection hidden="1"/>
    </xf>
    <xf numFmtId="166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32" fillId="6" borderId="0" xfId="0" applyFont="1" applyFill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66" fontId="30" fillId="0" borderId="0" xfId="0" applyNumberFormat="1" applyFont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right" vertical="center"/>
      <protection hidden="1"/>
    </xf>
    <xf numFmtId="164" fontId="30" fillId="0" borderId="0" xfId="0" applyNumberFormat="1" applyFont="1" applyFill="1" applyAlignment="1" applyProtection="1">
      <alignment horizontal="center" vertical="center"/>
      <protection hidden="1"/>
    </xf>
    <xf numFmtId="165" fontId="30" fillId="0" borderId="0" xfId="0" applyNumberFormat="1" applyFont="1" applyAlignment="1" applyProtection="1">
      <alignment horizontal="center" vertical="center"/>
      <protection hidden="1"/>
    </xf>
    <xf numFmtId="2" fontId="30" fillId="0" borderId="0" xfId="0" applyNumberFormat="1" applyFont="1" applyAlignment="1" applyProtection="1">
      <alignment horizontal="center" vertical="center"/>
      <protection hidden="1"/>
    </xf>
    <xf numFmtId="167" fontId="30" fillId="0" borderId="0" xfId="0" applyNumberFormat="1" applyFont="1" applyAlignment="1" applyProtection="1">
      <alignment horizontal="center" vertical="center"/>
      <protection hidden="1"/>
    </xf>
    <xf numFmtId="0" fontId="30" fillId="0" borderId="31" xfId="0" applyFont="1" applyBorder="1" applyAlignment="1" applyProtection="1">
      <alignment horizontal="center" vertical="center"/>
      <protection hidden="1"/>
    </xf>
    <xf numFmtId="166" fontId="30" fillId="0" borderId="31" xfId="0" applyNumberFormat="1" applyFont="1" applyBorder="1" applyAlignment="1" applyProtection="1">
      <alignment horizontal="center" vertical="center"/>
      <protection hidden="1"/>
    </xf>
    <xf numFmtId="1" fontId="30" fillId="0" borderId="31" xfId="0" applyNumberFormat="1" applyFont="1" applyBorder="1" applyAlignment="1" applyProtection="1">
      <alignment horizontal="center" vertical="center"/>
      <protection hidden="1"/>
    </xf>
    <xf numFmtId="164" fontId="30" fillId="0" borderId="31" xfId="0" applyNumberFormat="1" applyFont="1" applyBorder="1" applyAlignment="1" applyProtection="1">
      <alignment horizontal="center" vertical="center"/>
      <protection hidden="1"/>
    </xf>
    <xf numFmtId="1" fontId="30" fillId="0" borderId="31" xfId="0" applyNumberFormat="1" applyFont="1" applyBorder="1" applyAlignment="1" applyProtection="1">
      <alignment horizontal="right" vertical="center"/>
      <protection hidden="1"/>
    </xf>
    <xf numFmtId="164" fontId="30" fillId="0" borderId="32" xfId="0" applyNumberFormat="1" applyFont="1" applyFill="1" applyBorder="1" applyAlignment="1" applyProtection="1">
      <alignment horizontal="center" vertical="center"/>
      <protection hidden="1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5" fontId="30" fillId="0" borderId="31" xfId="0" applyNumberFormat="1" applyFont="1" applyBorder="1" applyAlignment="1" applyProtection="1">
      <alignment horizontal="center" vertical="center"/>
      <protection hidden="1"/>
    </xf>
    <xf numFmtId="2" fontId="30" fillId="0" borderId="31" xfId="0" applyNumberFormat="1" applyFont="1" applyBorder="1" applyAlignment="1" applyProtection="1">
      <alignment horizontal="center" vertical="center"/>
      <protection hidden="1"/>
    </xf>
    <xf numFmtId="0" fontId="32" fillId="5" borderId="0" xfId="0" applyFont="1" applyFill="1" applyAlignment="1" applyProtection="1">
      <alignment horizontal="center" vertical="center"/>
      <protection hidden="1"/>
    </xf>
    <xf numFmtId="166" fontId="30" fillId="0" borderId="0" xfId="0" applyNumberFormat="1" applyFont="1" applyBorder="1" applyAlignment="1" applyProtection="1">
      <alignment horizontal="center" vertical="center"/>
      <protection hidden="1"/>
    </xf>
    <xf numFmtId="166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164" fontId="30" fillId="0" borderId="0" xfId="0" applyNumberFormat="1" applyFont="1" applyBorder="1" applyAlignment="1" applyProtection="1">
      <alignment horizontal="center" vertical="center"/>
      <protection hidden="1"/>
    </xf>
    <xf numFmtId="1" fontId="30" fillId="0" borderId="0" xfId="0" applyNumberFormat="1" applyFont="1" applyBorder="1" applyAlignment="1" applyProtection="1">
      <alignment horizontal="right" vertical="center"/>
      <protection hidden="1"/>
    </xf>
    <xf numFmtId="164" fontId="30" fillId="0" borderId="0" xfId="0" applyNumberFormat="1" applyFont="1" applyFill="1" applyBorder="1" applyAlignment="1" applyProtection="1">
      <alignment horizontal="center" vertical="center"/>
      <protection hidden="1"/>
    </xf>
    <xf numFmtId="165" fontId="30" fillId="0" borderId="0" xfId="0" applyNumberFormat="1" applyFont="1" applyBorder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center" vertical="center"/>
      <protection hidden="1"/>
    </xf>
    <xf numFmtId="166" fontId="30" fillId="0" borderId="0" xfId="0" applyNumberFormat="1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1" fontId="3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1" fontId="30" fillId="0" borderId="0" xfId="0" applyNumberFormat="1" applyFont="1" applyFill="1" applyAlignment="1" applyProtection="1">
      <alignment horizontal="right" vertical="center"/>
      <protection hidden="1"/>
    </xf>
    <xf numFmtId="166" fontId="30" fillId="0" borderId="33" xfId="0" applyNumberFormat="1" applyFont="1" applyBorder="1" applyAlignment="1" applyProtection="1">
      <alignment horizontal="center" vertical="center"/>
      <protection hidden="1"/>
    </xf>
    <xf numFmtId="0" fontId="30" fillId="0" borderId="33" xfId="0" applyFont="1" applyBorder="1" applyAlignment="1" applyProtection="1">
      <alignment horizontal="center" vertical="center"/>
      <protection hidden="1"/>
    </xf>
    <xf numFmtId="1" fontId="30" fillId="0" borderId="33" xfId="0" applyNumberFormat="1" applyFont="1" applyBorder="1" applyAlignment="1" applyProtection="1">
      <alignment horizontal="center" vertical="center"/>
      <protection hidden="1"/>
    </xf>
    <xf numFmtId="164" fontId="30" fillId="0" borderId="33" xfId="0" applyNumberFormat="1" applyFont="1" applyBorder="1" applyAlignment="1" applyProtection="1">
      <alignment horizontal="center" vertical="center"/>
      <protection hidden="1"/>
    </xf>
    <xf numFmtId="1" fontId="30" fillId="0" borderId="33" xfId="0" applyNumberFormat="1" applyFont="1" applyBorder="1" applyAlignment="1" applyProtection="1">
      <alignment horizontal="right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5" fontId="30" fillId="0" borderId="33" xfId="0" applyNumberFormat="1" applyFont="1" applyBorder="1" applyAlignment="1" applyProtection="1">
      <alignment horizontal="center" vertical="center"/>
      <protection hidden="1"/>
    </xf>
    <xf numFmtId="2" fontId="30" fillId="0" borderId="33" xfId="0" applyNumberFormat="1" applyFont="1" applyBorder="1" applyAlignment="1" applyProtection="1">
      <alignment horizontal="center" vertical="center"/>
      <protection hidden="1"/>
    </xf>
    <xf numFmtId="0" fontId="32" fillId="7" borderId="0" xfId="0" applyFont="1" applyFill="1" applyAlignment="1" applyProtection="1">
      <alignment horizontal="center" vertical="center"/>
      <protection hidden="1"/>
    </xf>
    <xf numFmtId="2" fontId="30" fillId="0" borderId="0" xfId="0" applyNumberFormat="1" applyFont="1" applyFill="1" applyAlignment="1" applyProtection="1">
      <alignment horizontal="center" vertical="center"/>
      <protection hidden="1"/>
    </xf>
    <xf numFmtId="166" fontId="32" fillId="0" borderId="0" xfId="0" applyNumberFormat="1" applyFont="1" applyFill="1" applyAlignment="1" applyProtection="1">
      <alignment horizontal="center" vertical="center"/>
      <protection hidden="1"/>
    </xf>
    <xf numFmtId="168" fontId="30" fillId="0" borderId="0" xfId="0" applyNumberFormat="1" applyFont="1" applyBorder="1" applyAlignment="1" applyProtection="1">
      <alignment horizontal="center" vertical="center"/>
      <protection hidden="1"/>
    </xf>
    <xf numFmtId="166" fontId="30" fillId="0" borderId="34" xfId="0" applyNumberFormat="1" applyFont="1" applyBorder="1" applyAlignment="1" applyProtection="1">
      <alignment horizontal="center" vertical="center"/>
      <protection hidden="1"/>
    </xf>
    <xf numFmtId="1" fontId="30" fillId="0" borderId="34" xfId="0" applyNumberFormat="1" applyFont="1" applyBorder="1" applyAlignment="1" applyProtection="1">
      <alignment horizontal="center" vertical="center"/>
      <protection hidden="1"/>
    </xf>
    <xf numFmtId="164" fontId="30" fillId="0" borderId="34" xfId="0" applyNumberFormat="1" applyFont="1" applyBorder="1" applyAlignment="1" applyProtection="1">
      <alignment horizontal="center" vertical="center"/>
      <protection hidden="1"/>
    </xf>
    <xf numFmtId="1" fontId="30" fillId="0" borderId="34" xfId="0" applyNumberFormat="1" applyFont="1" applyBorder="1" applyAlignment="1" applyProtection="1">
      <alignment horizontal="right" vertical="center"/>
      <protection hidden="1"/>
    </xf>
    <xf numFmtId="164" fontId="30" fillId="0" borderId="34" xfId="0" applyNumberFormat="1" applyFont="1" applyFill="1" applyBorder="1" applyAlignment="1" applyProtection="1">
      <alignment horizontal="center" vertical="center"/>
      <protection hidden="1"/>
    </xf>
    <xf numFmtId="2" fontId="30" fillId="0" borderId="34" xfId="0" applyNumberFormat="1" applyFont="1" applyBorder="1" applyAlignment="1" applyProtection="1">
      <alignment horizontal="center" vertical="center"/>
      <protection hidden="1"/>
    </xf>
    <xf numFmtId="0" fontId="30" fillId="0" borderId="34" xfId="0" applyFont="1" applyBorder="1" applyAlignment="1" applyProtection="1">
      <alignment horizontal="center" vertical="center"/>
      <protection hidden="1"/>
    </xf>
    <xf numFmtId="166" fontId="32" fillId="8" borderId="0" xfId="0" applyNumberFormat="1" applyFont="1" applyFill="1" applyAlignment="1" applyProtection="1">
      <alignment horizontal="center" vertical="center"/>
      <protection hidden="1"/>
    </xf>
    <xf numFmtId="166" fontId="30" fillId="0" borderId="35" xfId="0" applyNumberFormat="1" applyFont="1" applyBorder="1" applyAlignment="1" applyProtection="1">
      <alignment horizontal="center" vertical="center"/>
      <protection hidden="1"/>
    </xf>
    <xf numFmtId="1" fontId="30" fillId="0" borderId="35" xfId="0" applyNumberFormat="1" applyFont="1" applyBorder="1" applyAlignment="1" applyProtection="1">
      <alignment horizontal="center" vertical="center"/>
      <protection hidden="1"/>
    </xf>
    <xf numFmtId="164" fontId="30" fillId="0" borderId="35" xfId="0" applyNumberFormat="1" applyFont="1" applyBorder="1" applyAlignment="1" applyProtection="1">
      <alignment horizontal="center" vertical="center"/>
      <protection hidden="1"/>
    </xf>
    <xf numFmtId="1" fontId="30" fillId="0" borderId="35" xfId="0" applyNumberFormat="1" applyFont="1" applyBorder="1" applyAlignment="1" applyProtection="1">
      <alignment horizontal="right" vertical="center"/>
      <protection hidden="1"/>
    </xf>
    <xf numFmtId="164" fontId="30" fillId="0" borderId="35" xfId="0" applyNumberFormat="1" applyFont="1" applyFill="1" applyBorder="1" applyAlignment="1" applyProtection="1">
      <alignment horizontal="center" vertical="center"/>
      <protection hidden="1"/>
    </xf>
    <xf numFmtId="2" fontId="30" fillId="0" borderId="35" xfId="0" applyNumberFormat="1" applyFont="1" applyBorder="1" applyAlignment="1" applyProtection="1">
      <alignment horizontal="center" vertical="center"/>
      <protection hidden="1"/>
    </xf>
    <xf numFmtId="0" fontId="30" fillId="0" borderId="3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5" fontId="26" fillId="0" borderId="0" xfId="0" applyNumberFormat="1" applyFont="1" applyAlignment="1" applyProtection="1">
      <alignment horizontal="left" vertical="center"/>
      <protection hidden="1"/>
    </xf>
    <xf numFmtId="165" fontId="30" fillId="0" borderId="0" xfId="0" applyNumberFormat="1" applyFont="1" applyAlignment="1" applyProtection="1">
      <alignment horizontal="left" vertical="center"/>
      <protection hidden="1"/>
    </xf>
    <xf numFmtId="0" fontId="1" fillId="0" borderId="49" xfId="0" applyFont="1" applyBorder="1" applyAlignment="1">
      <alignment horizontal="center" vertical="center"/>
    </xf>
    <xf numFmtId="0" fontId="60" fillId="0" borderId="0" xfId="0" applyFont="1" applyProtection="1"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56" fillId="4" borderId="10" xfId="0" applyFont="1" applyFill="1" applyBorder="1" applyAlignment="1" applyProtection="1">
      <alignment horizontal="center" vertical="center"/>
      <protection hidden="1"/>
    </xf>
    <xf numFmtId="2" fontId="1" fillId="9" borderId="13" xfId="0" applyNumberFormat="1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56" fillId="4" borderId="14" xfId="0" applyFont="1" applyFill="1" applyBorder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4" borderId="14" xfId="0" applyFont="1" applyFill="1" applyBorder="1" applyAlignment="1" applyProtection="1">
      <alignment horizontal="center" vertical="center"/>
      <protection hidden="1"/>
    </xf>
    <xf numFmtId="2" fontId="0" fillId="3" borderId="13" xfId="0" applyNumberFormat="1" applyFill="1" applyBorder="1" applyAlignment="1" applyProtection="1">
      <alignment horizontal="center" vertical="center"/>
      <protection hidden="1"/>
    </xf>
    <xf numFmtId="2" fontId="11" fillId="3" borderId="13" xfId="0" applyNumberFormat="1" applyFon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 vertical="center"/>
      <protection hidden="1"/>
    </xf>
    <xf numFmtId="2" fontId="10" fillId="0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165" fontId="0" fillId="0" borderId="13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2" fontId="11" fillId="3" borderId="14" xfId="0" applyNumberFormat="1" applyFont="1" applyFill="1" applyBorder="1" applyAlignment="1" applyProtection="1">
      <alignment horizontal="center" vertical="center"/>
      <protection hidden="1"/>
    </xf>
    <xf numFmtId="2" fontId="0" fillId="3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164" fontId="0" fillId="0" borderId="14" xfId="0" applyNumberFormat="1" applyBorder="1" applyAlignment="1" applyProtection="1">
      <alignment horizontal="center" vertical="center"/>
      <protection hidden="1"/>
    </xf>
    <xf numFmtId="0" fontId="61" fillId="0" borderId="0" xfId="0" applyFont="1"/>
    <xf numFmtId="1" fontId="25" fillId="0" borderId="0" xfId="0" applyNumberFormat="1" applyFont="1" applyBorder="1" applyAlignment="1" applyProtection="1">
      <alignment horizontal="center" vertical="center"/>
      <protection hidden="1"/>
    </xf>
    <xf numFmtId="165" fontId="0" fillId="0" borderId="0" xfId="0" applyNumberFormat="1"/>
    <xf numFmtId="0" fontId="0" fillId="0" borderId="50" xfId="0" applyBorder="1" applyAlignment="1" applyProtection="1">
      <alignment horizontal="center" vertical="center"/>
      <protection hidden="1"/>
    </xf>
    <xf numFmtId="165" fontId="0" fillId="0" borderId="19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horizontal="center" vertical="center"/>
      <protection hidden="1"/>
    </xf>
    <xf numFmtId="165" fontId="0" fillId="0" borderId="50" xfId="0" applyNumberFormat="1" applyBorder="1" applyAlignment="1" applyProtection="1">
      <alignment horizontal="center" vertical="center"/>
      <protection hidden="1"/>
    </xf>
    <xf numFmtId="0" fontId="58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1" fillId="0" borderId="13" xfId="0" applyFont="1" applyFill="1" applyBorder="1" applyAlignment="1" applyProtection="1">
      <alignment horizontal="center" vertical="center"/>
      <protection hidden="1"/>
    </xf>
    <xf numFmtId="2" fontId="43" fillId="0" borderId="1" xfId="0" applyNumberFormat="1" applyFont="1" applyBorder="1" applyAlignment="1" applyProtection="1">
      <alignment horizontal="center" vertical="center"/>
      <protection hidden="1"/>
    </xf>
    <xf numFmtId="2" fontId="43" fillId="0" borderId="2" xfId="0" applyNumberFormat="1" applyFont="1" applyBorder="1" applyAlignment="1" applyProtection="1">
      <alignment horizontal="center" vertical="center"/>
      <protection hidden="1"/>
    </xf>
    <xf numFmtId="2" fontId="43" fillId="0" borderId="2" xfId="0" applyNumberFormat="1" applyFont="1" applyFill="1" applyBorder="1" applyAlignment="1" applyProtection="1">
      <alignment horizontal="center" vertical="center"/>
      <protection hidden="1"/>
    </xf>
    <xf numFmtId="2" fontId="45" fillId="0" borderId="2" xfId="0" applyNumberFormat="1" applyFont="1" applyFill="1" applyBorder="1" applyAlignment="1" applyProtection="1">
      <alignment horizontal="center" vertical="center"/>
      <protection hidden="1"/>
    </xf>
    <xf numFmtId="2" fontId="43" fillId="0" borderId="3" xfId="0" applyNumberFormat="1" applyFont="1" applyFill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2" fontId="0" fillId="0" borderId="6" xfId="0" applyNumberFormat="1" applyBorder="1" applyAlignment="1" applyProtection="1">
      <alignment horizontal="center" vertical="center"/>
      <protection hidden="1"/>
    </xf>
    <xf numFmtId="2" fontId="0" fillId="0" borderId="48" xfId="0" applyNumberFormat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2" fontId="7" fillId="5" borderId="4" xfId="0" applyNumberFormat="1" applyFont="1" applyFill="1" applyBorder="1" applyAlignment="1" applyProtection="1">
      <alignment horizontal="center" vertical="center"/>
      <protection hidden="1"/>
    </xf>
    <xf numFmtId="2" fontId="7" fillId="5" borderId="5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protection hidden="1"/>
    </xf>
    <xf numFmtId="0" fontId="52" fillId="0" borderId="0" xfId="0" applyFont="1" applyProtection="1">
      <protection hidden="1"/>
    </xf>
    <xf numFmtId="0" fontId="0" fillId="0" borderId="15" xfId="0" applyBorder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4" borderId="44" xfId="0" applyFont="1" applyFill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47" fillId="5" borderId="13" xfId="0" applyFont="1" applyFill="1" applyBorder="1" applyAlignment="1" applyProtection="1">
      <alignment horizontal="center" vertical="center"/>
      <protection hidden="1"/>
    </xf>
    <xf numFmtId="2" fontId="54" fillId="5" borderId="13" xfId="0" applyNumberFormat="1" applyFont="1" applyFill="1" applyBorder="1" applyAlignment="1" applyProtection="1">
      <alignment horizontal="center" vertical="center"/>
      <protection hidden="1"/>
    </xf>
    <xf numFmtId="0" fontId="30" fillId="3" borderId="8" xfId="0" applyFont="1" applyFill="1" applyBorder="1" applyAlignment="1" applyProtection="1">
      <alignment horizontal="center" vertical="center"/>
      <protection hidden="1"/>
    </xf>
    <xf numFmtId="1" fontId="30" fillId="3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0" fillId="5" borderId="13" xfId="0" applyFill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 vertical="center"/>
    </xf>
    <xf numFmtId="0" fontId="0" fillId="10" borderId="52" xfId="0" applyFill="1" applyBorder="1"/>
    <xf numFmtId="0" fontId="0" fillId="10" borderId="53" xfId="0" applyFill="1" applyBorder="1"/>
    <xf numFmtId="0" fontId="25" fillId="0" borderId="0" xfId="0" applyFont="1" applyAlignment="1">
      <alignment horizontal="right"/>
    </xf>
    <xf numFmtId="0" fontId="63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left"/>
    </xf>
    <xf numFmtId="0" fontId="0" fillId="10" borderId="54" xfId="0" applyFill="1" applyBorder="1"/>
    <xf numFmtId="0" fontId="0" fillId="10" borderId="0" xfId="0" applyFill="1" applyBorder="1"/>
    <xf numFmtId="0" fontId="0" fillId="10" borderId="21" xfId="0" applyFill="1" applyBorder="1"/>
    <xf numFmtId="0" fontId="0" fillId="10" borderId="23" xfId="0" applyFill="1" applyBorder="1"/>
    <xf numFmtId="0" fontId="0" fillId="10" borderId="16" xfId="0" applyFill="1" applyBorder="1"/>
    <xf numFmtId="0" fontId="0" fillId="10" borderId="11" xfId="0" applyFill="1" applyBorder="1"/>
    <xf numFmtId="0" fontId="0" fillId="10" borderId="17" xfId="0" applyFill="1" applyBorder="1"/>
    <xf numFmtId="0" fontId="0" fillId="10" borderId="46" xfId="0" applyFill="1" applyBorder="1"/>
    <xf numFmtId="0" fontId="0" fillId="10" borderId="45" xfId="0" applyFill="1" applyBorder="1"/>
    <xf numFmtId="0" fontId="0" fillId="10" borderId="18" xfId="0" applyFill="1" applyBorder="1"/>
    <xf numFmtId="0" fontId="0" fillId="10" borderId="15" xfId="0" applyFill="1" applyBorder="1"/>
    <xf numFmtId="0" fontId="0" fillId="10" borderId="22" xfId="0" applyFill="1" applyBorder="1"/>
    <xf numFmtId="0" fontId="26" fillId="0" borderId="0" xfId="0" applyFont="1" applyAlignment="1" applyProtection="1">
      <alignment horizontal="right" textRotation="90"/>
      <protection hidden="1"/>
    </xf>
    <xf numFmtId="0" fontId="64" fillId="0" borderId="17" xfId="0" applyFont="1" applyBorder="1" applyAlignment="1" applyProtection="1">
      <alignment horizontal="right" vertical="center" textRotation="90"/>
      <protection hidden="1"/>
    </xf>
    <xf numFmtId="0" fontId="26" fillId="0" borderId="0" xfId="0" applyFont="1" applyAlignment="1" applyProtection="1">
      <alignment textRotation="90"/>
      <protection hidden="1"/>
    </xf>
    <xf numFmtId="0" fontId="26" fillId="0" borderId="11" xfId="0" applyFont="1" applyBorder="1" applyAlignment="1" applyProtection="1">
      <alignment horizontal="left" textRotation="90"/>
      <protection hidden="1"/>
    </xf>
    <xf numFmtId="0" fontId="26" fillId="0" borderId="11" xfId="0" applyFont="1" applyBorder="1" applyAlignment="1" applyProtection="1">
      <alignment horizontal="left"/>
      <protection hidden="1"/>
    </xf>
    <xf numFmtId="0" fontId="64" fillId="0" borderId="11" xfId="0" applyFont="1" applyBorder="1" applyAlignment="1" applyProtection="1">
      <alignment horizontal="left" vertical="center" textRotation="90"/>
      <protection hidden="1"/>
    </xf>
    <xf numFmtId="0" fontId="65" fillId="0" borderId="0" xfId="0" applyFont="1"/>
    <xf numFmtId="0" fontId="65" fillId="0" borderId="0" xfId="0" applyFont="1" applyAlignment="1">
      <alignment horizontal="right" vertical="center"/>
    </xf>
    <xf numFmtId="1" fontId="65" fillId="0" borderId="0" xfId="0" applyNumberFormat="1" applyFont="1"/>
    <xf numFmtId="2" fontId="3" fillId="0" borderId="0" xfId="0" applyNumberFormat="1" applyFont="1" applyFill="1" applyBorder="1" applyAlignment="1" applyProtection="1">
      <alignment horizontal="center" vertical="distributed"/>
      <protection hidden="1"/>
    </xf>
    <xf numFmtId="2" fontId="0" fillId="0" borderId="0" xfId="0" applyNumberFormat="1" applyFill="1" applyBorder="1" applyAlignment="1" applyProtection="1">
      <alignment horizontal="center" vertical="distributed"/>
      <protection hidden="1"/>
    </xf>
    <xf numFmtId="2" fontId="3" fillId="0" borderId="0" xfId="0" applyNumberFormat="1" applyFont="1" applyFill="1" applyBorder="1" applyAlignment="1" applyProtection="1">
      <alignment horizontal="center" vertical="distributed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69" fontId="0" fillId="0" borderId="0" xfId="0" applyNumberFormat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169" fontId="0" fillId="0" borderId="49" xfId="0" applyNumberFormat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hidden="1"/>
    </xf>
    <xf numFmtId="170" fontId="0" fillId="0" borderId="0" xfId="0" applyNumberFormat="1" applyFont="1" applyBorder="1" applyAlignment="1" applyProtection="1">
      <alignment horizontal="center" vertical="center"/>
      <protection hidden="1"/>
    </xf>
    <xf numFmtId="0" fontId="67" fillId="0" borderId="0" xfId="0" applyFont="1" applyBorder="1"/>
    <xf numFmtId="0" fontId="0" fillId="0" borderId="49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171" fontId="67" fillId="0" borderId="49" xfId="0" applyNumberFormat="1" applyFont="1" applyBorder="1" applyAlignment="1" applyProtection="1">
      <alignment horizontal="center" vertical="center"/>
      <protection locked="0"/>
    </xf>
    <xf numFmtId="171" fontId="0" fillId="0" borderId="13" xfId="0" applyNumberFormat="1" applyFont="1" applyBorder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protection hidden="1"/>
    </xf>
    <xf numFmtId="0" fontId="37" fillId="0" borderId="0" xfId="0" applyFont="1" applyAlignment="1" applyProtection="1">
      <protection hidden="1"/>
    </xf>
    <xf numFmtId="170" fontId="0" fillId="0" borderId="13" xfId="0" applyNumberFormat="1" applyFont="1" applyBorder="1" applyAlignment="1" applyProtection="1">
      <alignment horizontal="center" vertical="center"/>
      <protection hidden="1"/>
    </xf>
    <xf numFmtId="17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/>
    <xf numFmtId="0" fontId="71" fillId="0" borderId="0" xfId="0" applyFont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70" fontId="0" fillId="0" borderId="13" xfId="0" applyNumberFormat="1" applyFont="1" applyBorder="1" applyAlignment="1" applyProtection="1">
      <alignment horizontal="center" vertical="center"/>
    </xf>
    <xf numFmtId="173" fontId="0" fillId="0" borderId="13" xfId="0" applyNumberFormat="1" applyFont="1" applyBorder="1" applyAlignment="1" applyProtection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/>
    <xf numFmtId="2" fontId="67" fillId="0" borderId="0" xfId="0" applyNumberFormat="1" applyFont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vertical="center"/>
    </xf>
    <xf numFmtId="0" fontId="67" fillId="0" borderId="0" xfId="0" applyFont="1" applyBorder="1" applyAlignment="1" applyProtection="1">
      <alignment horizontal="center" vertical="center"/>
      <protection hidden="1"/>
    </xf>
    <xf numFmtId="169" fontId="0" fillId="0" borderId="57" xfId="0" applyNumberForma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71" fontId="67" fillId="0" borderId="13" xfId="0" applyNumberFormat="1" applyFont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center"/>
      <protection hidden="1"/>
    </xf>
    <xf numFmtId="171" fontId="67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/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68" fillId="0" borderId="13" xfId="0" applyFont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3" xfId="0" applyFont="1" applyBorder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/>
      <protection hidden="1"/>
    </xf>
    <xf numFmtId="174" fontId="0" fillId="0" borderId="49" xfId="0" applyNumberFormat="1" applyBorder="1" applyAlignment="1" applyProtection="1">
      <alignment horizontal="center" vertical="center"/>
      <protection locked="0"/>
    </xf>
    <xf numFmtId="2" fontId="54" fillId="5" borderId="7" xfId="0" applyNumberFormat="1" applyFont="1" applyFill="1" applyBorder="1" applyAlignment="1" applyProtection="1">
      <alignment horizontal="center" vertical="center"/>
      <protection hidden="1"/>
    </xf>
    <xf numFmtId="0" fontId="7" fillId="4" borderId="62" xfId="0" applyFont="1" applyFill="1" applyBorder="1" applyAlignment="1" applyProtection="1">
      <alignment horizontal="center" vertical="center"/>
      <protection hidden="1"/>
    </xf>
    <xf numFmtId="0" fontId="7" fillId="4" borderId="63" xfId="0" applyFont="1" applyFill="1" applyBorder="1" applyAlignment="1" applyProtection="1">
      <alignment horizontal="center" vertical="center"/>
      <protection hidden="1"/>
    </xf>
    <xf numFmtId="0" fontId="7" fillId="4" borderId="64" xfId="0" applyFont="1" applyFill="1" applyBorder="1" applyAlignment="1" applyProtection="1">
      <alignment horizontal="center" vertical="center"/>
      <protection hidden="1"/>
    </xf>
    <xf numFmtId="0" fontId="7" fillId="4" borderId="65" xfId="0" applyFont="1" applyFill="1" applyBorder="1" applyAlignment="1" applyProtection="1">
      <alignment horizontal="center" vertical="center"/>
      <protection hidden="1"/>
    </xf>
    <xf numFmtId="0" fontId="37" fillId="0" borderId="15" xfId="0" applyFont="1" applyBorder="1" applyAlignment="1" applyProtection="1">
      <protection hidden="1"/>
    </xf>
    <xf numFmtId="0" fontId="37" fillId="0" borderId="58" xfId="0" applyFont="1" applyBorder="1" applyAlignment="1" applyProtection="1">
      <alignment horizontal="center"/>
      <protection hidden="1"/>
    </xf>
    <xf numFmtId="0" fontId="7" fillId="4" borderId="71" xfId="0" applyFont="1" applyFill="1" applyBorder="1" applyAlignment="1" applyProtection="1">
      <alignment horizontal="center" vertical="center"/>
      <protection hidden="1"/>
    </xf>
    <xf numFmtId="0" fontId="7" fillId="4" borderId="72" xfId="0" applyFont="1" applyFill="1" applyBorder="1" applyAlignment="1" applyProtection="1">
      <alignment vertical="center"/>
      <protection hidden="1"/>
    </xf>
    <xf numFmtId="171" fontId="0" fillId="0" borderId="13" xfId="0" applyNumberFormat="1" applyBorder="1" applyAlignment="1" applyProtection="1">
      <alignment horizontal="center" vertical="center"/>
      <protection hidden="1"/>
    </xf>
    <xf numFmtId="2" fontId="5" fillId="0" borderId="13" xfId="0" applyNumberFormat="1" applyFont="1" applyFill="1" applyBorder="1" applyAlignment="1">
      <alignment horizontal="center" vertical="distributed"/>
    </xf>
    <xf numFmtId="2" fontId="17" fillId="0" borderId="13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distributed"/>
    </xf>
    <xf numFmtId="175" fontId="0" fillId="0" borderId="49" xfId="0" applyNumberFormat="1" applyFont="1" applyBorder="1" applyAlignment="1" applyProtection="1">
      <alignment horizontal="center" vertical="center"/>
      <protection locked="0"/>
    </xf>
    <xf numFmtId="0" fontId="30" fillId="3" borderId="66" xfId="0" applyFont="1" applyFill="1" applyBorder="1" applyAlignment="1" applyProtection="1">
      <alignment horizontal="center" vertical="center"/>
      <protection locked="0"/>
    </xf>
    <xf numFmtId="0" fontId="30" fillId="3" borderId="13" xfId="0" applyFont="1" applyFill="1" applyBorder="1" applyAlignment="1" applyProtection="1">
      <alignment horizontal="center" vertical="center"/>
      <protection locked="0"/>
    </xf>
    <xf numFmtId="1" fontId="30" fillId="3" borderId="67" xfId="0" applyNumberFormat="1" applyFont="1" applyFill="1" applyBorder="1" applyAlignment="1" applyProtection="1">
      <alignment horizontal="center" vertical="center"/>
      <protection locked="0"/>
    </xf>
    <xf numFmtId="0" fontId="30" fillId="3" borderId="68" xfId="0" applyFont="1" applyFill="1" applyBorder="1" applyAlignment="1" applyProtection="1">
      <alignment horizontal="center" vertical="center"/>
      <protection locked="0"/>
    </xf>
    <xf numFmtId="0" fontId="30" fillId="3" borderId="69" xfId="0" applyFont="1" applyFill="1" applyBorder="1" applyAlignment="1" applyProtection="1">
      <alignment horizontal="center" vertical="center"/>
      <protection locked="0"/>
    </xf>
    <xf numFmtId="1" fontId="30" fillId="3" borderId="70" xfId="0" applyNumberFormat="1" applyFont="1" applyFill="1" applyBorder="1" applyAlignment="1" applyProtection="1">
      <alignment horizontal="center" vertical="center"/>
      <protection locked="0"/>
    </xf>
    <xf numFmtId="0" fontId="30" fillId="3" borderId="73" xfId="0" applyFont="1" applyFill="1" applyBorder="1" applyAlignment="1" applyProtection="1">
      <alignment horizontal="center" vertical="center"/>
      <protection locked="0"/>
    </xf>
    <xf numFmtId="0" fontId="30" fillId="3" borderId="74" xfId="0" applyFont="1" applyFill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hidden="1"/>
    </xf>
    <xf numFmtId="0" fontId="25" fillId="0" borderId="51" xfId="0" applyFont="1" applyBorder="1" applyAlignment="1" applyProtection="1">
      <alignment horizontal="center" vertical="center" wrapText="1"/>
      <protection hidden="1"/>
    </xf>
    <xf numFmtId="0" fontId="25" fillId="0" borderId="75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2" fontId="12" fillId="0" borderId="39" xfId="0" applyNumberFormat="1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2" fontId="12" fillId="0" borderId="9" xfId="0" applyNumberFormat="1" applyFont="1" applyBorder="1" applyAlignment="1" applyProtection="1">
      <alignment horizontal="center" vertical="center"/>
      <protection hidden="1"/>
    </xf>
    <xf numFmtId="0" fontId="30" fillId="0" borderId="76" xfId="0" applyFont="1" applyBorder="1" applyAlignment="1" applyProtection="1">
      <alignment horizontal="center" vertical="center"/>
      <protection hidden="1"/>
    </xf>
    <xf numFmtId="0" fontId="39" fillId="0" borderId="77" xfId="0" applyFont="1" applyBorder="1" applyAlignment="1" applyProtection="1">
      <alignment horizontal="center" vertical="center"/>
      <protection hidden="1"/>
    </xf>
    <xf numFmtId="0" fontId="42" fillId="0" borderId="78" xfId="0" applyFont="1" applyFill="1" applyBorder="1" applyAlignment="1" applyProtection="1">
      <alignment horizontal="center" vertical="center"/>
      <protection locked="0"/>
    </xf>
    <xf numFmtId="0" fontId="42" fillId="0" borderId="79" xfId="0" applyFont="1" applyFill="1" applyBorder="1" applyAlignment="1" applyProtection="1">
      <alignment horizontal="center" vertical="center"/>
      <protection locked="0"/>
    </xf>
    <xf numFmtId="0" fontId="42" fillId="0" borderId="80" xfId="0" applyFont="1" applyFill="1" applyBorder="1" applyAlignment="1" applyProtection="1">
      <alignment horizontal="center" vertical="center"/>
      <protection locked="0"/>
    </xf>
    <xf numFmtId="0" fontId="42" fillId="0" borderId="8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62" fillId="0" borderId="0" xfId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2" fillId="0" borderId="0" xfId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6" fillId="9" borderId="0" xfId="0" applyFont="1" applyFill="1" applyAlignment="1">
      <alignment horizontal="center"/>
    </xf>
    <xf numFmtId="0" fontId="37" fillId="0" borderId="0" xfId="0" applyFont="1" applyAlignment="1" applyProtection="1">
      <alignment horizontal="left"/>
      <protection hidden="1"/>
    </xf>
    <xf numFmtId="0" fontId="0" fillId="0" borderId="56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distributed"/>
    </xf>
    <xf numFmtId="2" fontId="7" fillId="5" borderId="42" xfId="0" applyNumberFormat="1" applyFont="1" applyFill="1" applyBorder="1" applyAlignment="1" applyProtection="1">
      <alignment horizontal="center" vertical="center"/>
      <protection hidden="1"/>
    </xf>
    <xf numFmtId="2" fontId="7" fillId="5" borderId="39" xfId="0" applyNumberFormat="1" applyFont="1" applyFill="1" applyBorder="1" applyAlignment="1" applyProtection="1">
      <alignment horizontal="center" vertical="center"/>
      <protection hidden="1"/>
    </xf>
    <xf numFmtId="0" fontId="55" fillId="0" borderId="19" xfId="0" applyFont="1" applyBorder="1" applyAlignment="1" applyProtection="1">
      <alignment horizontal="center"/>
      <protection hidden="1"/>
    </xf>
    <xf numFmtId="0" fontId="55" fillId="0" borderId="20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47" fillId="5" borderId="43" xfId="0" applyFont="1" applyFill="1" applyBorder="1" applyAlignment="1" applyProtection="1">
      <alignment horizontal="center" vertical="center"/>
      <protection hidden="1"/>
    </xf>
    <xf numFmtId="0" fontId="47" fillId="5" borderId="41" xfId="0" applyFont="1" applyFill="1" applyBorder="1" applyAlignment="1" applyProtection="1">
      <alignment horizontal="center" vertical="center"/>
      <protection hidden="1"/>
    </xf>
    <xf numFmtId="0" fontId="38" fillId="0" borderId="36" xfId="0" applyFont="1" applyFill="1" applyBorder="1" applyAlignment="1" applyProtection="1">
      <alignment horizontal="center" vertical="distributed"/>
      <protection hidden="1"/>
    </xf>
    <xf numFmtId="0" fontId="38" fillId="0" borderId="38" xfId="0" applyFont="1" applyFill="1" applyBorder="1" applyAlignment="1" applyProtection="1">
      <alignment horizontal="center" vertical="distributed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0" fontId="1" fillId="5" borderId="9" xfId="0" applyFont="1" applyFill="1" applyBorder="1" applyAlignment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 shrinkToFit="1"/>
      <protection hidden="1"/>
    </xf>
    <xf numFmtId="0" fontId="1" fillId="0" borderId="9" xfId="0" applyFont="1" applyBorder="1" applyAlignment="1" applyProtection="1">
      <alignment horizontal="center" vertical="center" shrinkToFit="1"/>
      <protection hidden="1"/>
    </xf>
    <xf numFmtId="0" fontId="49" fillId="0" borderId="7" xfId="0" applyFont="1" applyBorder="1" applyAlignment="1" applyProtection="1">
      <alignment horizontal="center" vertical="center"/>
      <protection hidden="1"/>
    </xf>
    <xf numFmtId="0" fontId="49" fillId="0" borderId="9" xfId="0" applyFont="1" applyBorder="1" applyAlignment="1" applyProtection="1">
      <protection hidden="1"/>
    </xf>
    <xf numFmtId="0" fontId="1" fillId="0" borderId="0" xfId="0" applyFont="1" applyAlignment="1">
      <alignment horizontal="center" vertical="center"/>
    </xf>
    <xf numFmtId="0" fontId="37" fillId="0" borderId="59" xfId="0" applyFont="1" applyBorder="1" applyAlignment="1" applyProtection="1">
      <alignment horizontal="center"/>
      <protection hidden="1"/>
    </xf>
    <xf numFmtId="0" fontId="37" fillId="0" borderId="61" xfId="0" applyFont="1" applyBorder="1" applyAlignment="1" applyProtection="1">
      <alignment horizontal="center"/>
      <protection hidden="1"/>
    </xf>
    <xf numFmtId="2" fontId="43" fillId="0" borderId="40" xfId="0" applyNumberFormat="1" applyFont="1" applyFill="1" applyBorder="1" applyAlignment="1" applyProtection="1">
      <alignment horizontal="center" vertical="center"/>
      <protection hidden="1"/>
    </xf>
    <xf numFmtId="2" fontId="43" fillId="0" borderId="37" xfId="0" applyNumberFormat="1" applyFont="1" applyFill="1" applyBorder="1" applyAlignment="1" applyProtection="1">
      <alignment horizontal="center" vertical="center"/>
      <protection hidden="1"/>
    </xf>
    <xf numFmtId="0" fontId="56" fillId="4" borderId="10" xfId="0" applyFont="1" applyFill="1" applyBorder="1" applyAlignment="1" applyProtection="1">
      <alignment horizontal="center" vertical="center"/>
      <protection hidden="1"/>
    </xf>
    <xf numFmtId="0" fontId="56" fillId="4" borderId="14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7" fillId="0" borderId="60" xfId="0" applyFont="1" applyBorder="1" applyAlignment="1" applyProtection="1">
      <alignment horizontal="center"/>
      <protection hidden="1"/>
    </xf>
    <xf numFmtId="0" fontId="53" fillId="0" borderId="10" xfId="0" applyFont="1" applyFill="1" applyBorder="1" applyAlignment="1" applyProtection="1">
      <alignment horizontal="center" vertical="distributed"/>
      <protection hidden="1"/>
    </xf>
    <xf numFmtId="0" fontId="53" fillId="0" borderId="14" xfId="0" applyFont="1" applyFill="1" applyBorder="1" applyAlignment="1" applyProtection="1">
      <alignment horizontal="center" vertical="distributed"/>
      <protection hidden="1"/>
    </xf>
    <xf numFmtId="0" fontId="53" fillId="0" borderId="21" xfId="0" applyFont="1" applyFill="1" applyBorder="1" applyAlignment="1" applyProtection="1">
      <alignment horizontal="center" vertical="distributed"/>
      <protection hidden="1"/>
    </xf>
    <xf numFmtId="0" fontId="53" fillId="0" borderId="18" xfId="0" applyFont="1" applyFill="1" applyBorder="1" applyAlignment="1" applyProtection="1">
      <alignment horizontal="center" vertical="distributed"/>
      <protection hidden="1"/>
    </xf>
    <xf numFmtId="2" fontId="1" fillId="3" borderId="7" xfId="0" applyNumberFormat="1" applyFont="1" applyFill="1" applyBorder="1" applyAlignment="1" applyProtection="1">
      <alignment horizontal="center" vertical="center"/>
      <protection hidden="1"/>
    </xf>
    <xf numFmtId="2" fontId="1" fillId="3" borderId="8" xfId="0" applyNumberFormat="1" applyFont="1" applyFill="1" applyBorder="1" applyAlignment="1" applyProtection="1">
      <alignment horizontal="center" vertical="center"/>
      <protection hidden="1"/>
    </xf>
    <xf numFmtId="2" fontId="1" fillId="3" borderId="9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 vertical="center"/>
      <protection hidden="1"/>
    </xf>
    <xf numFmtId="0" fontId="16" fillId="4" borderId="8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16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3" borderId="22" xfId="0" applyFill="1" applyBorder="1" applyAlignment="1" applyProtection="1">
      <alignment horizontal="center" vertical="center"/>
      <protection hidden="1"/>
    </xf>
    <xf numFmtId="2" fontId="25" fillId="0" borderId="28" xfId="0" applyNumberFormat="1" applyFont="1" applyBorder="1" applyAlignment="1" applyProtection="1">
      <alignment horizontal="center" vertical="center"/>
      <protection hidden="1"/>
    </xf>
    <xf numFmtId="2" fontId="25" fillId="0" borderId="29" xfId="0" applyNumberFormat="1" applyFont="1" applyBorder="1" applyAlignment="1" applyProtection="1">
      <alignment horizontal="center" vertical="center"/>
      <protection hidden="1"/>
    </xf>
    <xf numFmtId="2" fontId="25" fillId="0" borderId="30" xfId="0" applyNumberFormat="1" applyFont="1" applyBorder="1" applyAlignment="1" applyProtection="1">
      <alignment horizontal="center" vertical="center"/>
      <protection hidden="1"/>
    </xf>
    <xf numFmtId="0" fontId="25" fillId="0" borderId="28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</cellXfs>
  <cellStyles count="2">
    <cellStyle name="Collegamento ipertestuale" xfId="1" builtinId="8"/>
    <cellStyle name="Normale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N-Mx  BASE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numRef>
              <c:f>DATI!$E$66</c:f>
              <c:numCache>
                <c:formatCode>0.0" kNm"</c:formatCode>
                <c:ptCount val="1"/>
                <c:pt idx="0">
                  <c:v>1706</c:v>
                </c:pt>
              </c:numCache>
            </c:numRef>
          </c:xVal>
          <c:yVal>
            <c:numRef>
              <c:f>DATI!$C$66</c:f>
              <c:numCache>
                <c:formatCode>0.0" kNm"</c:formatCode>
                <c:ptCount val="1"/>
                <c:pt idx="0">
                  <c:v>480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3391504"/>
        <c:axId val="-1953390416"/>
      </c:scatterChar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'caldom x'!$W$21:$W$277</c:f>
              <c:numCache>
                <c:formatCode>0</c:formatCode>
                <c:ptCount val="257"/>
                <c:pt idx="0">
                  <c:v>-1475.182637337816</c:v>
                </c:pt>
                <c:pt idx="1">
                  <c:v>-1475.182637337816</c:v>
                </c:pt>
                <c:pt idx="2">
                  <c:v>-1475.182637337816</c:v>
                </c:pt>
                <c:pt idx="3">
                  <c:v>-1475.182637337816</c:v>
                </c:pt>
                <c:pt idx="4">
                  <c:v>-1475.182637337816</c:v>
                </c:pt>
                <c:pt idx="5">
                  <c:v>-1475.182637337816</c:v>
                </c:pt>
                <c:pt idx="6">
                  <c:v>-1475.182637337816</c:v>
                </c:pt>
                <c:pt idx="7">
                  <c:v>-1475.182637337816</c:v>
                </c:pt>
                <c:pt idx="8">
                  <c:v>-1475.182637337816</c:v>
                </c:pt>
                <c:pt idx="9">
                  <c:v>-1475.182637337816</c:v>
                </c:pt>
                <c:pt idx="10">
                  <c:v>-1475.182637337816</c:v>
                </c:pt>
                <c:pt idx="11">
                  <c:v>-1475.182637337816</c:v>
                </c:pt>
                <c:pt idx="12">
                  <c:v>-1475.182637337816</c:v>
                </c:pt>
                <c:pt idx="13">
                  <c:v>-1475.182637337816</c:v>
                </c:pt>
                <c:pt idx="14">
                  <c:v>-1475.182637337816</c:v>
                </c:pt>
                <c:pt idx="15">
                  <c:v>-1475.182637337816</c:v>
                </c:pt>
                <c:pt idx="16">
                  <c:v>-1475.182637337816</c:v>
                </c:pt>
                <c:pt idx="17">
                  <c:v>-1475.182637337816</c:v>
                </c:pt>
                <c:pt idx="18">
                  <c:v>-1475.182637337816</c:v>
                </c:pt>
                <c:pt idx="19">
                  <c:v>-1475.182637337816</c:v>
                </c:pt>
                <c:pt idx="20">
                  <c:v>-1475.182637337816</c:v>
                </c:pt>
                <c:pt idx="21">
                  <c:v>-1475.182637337816</c:v>
                </c:pt>
                <c:pt idx="22">
                  <c:v>-1475.182637337816</c:v>
                </c:pt>
                <c:pt idx="23">
                  <c:v>-1475.182637337816</c:v>
                </c:pt>
                <c:pt idx="24">
                  <c:v>-1475.182637337816</c:v>
                </c:pt>
                <c:pt idx="25">
                  <c:v>-1475.182637337816</c:v>
                </c:pt>
                <c:pt idx="26">
                  <c:v>-1475.182637337816</c:v>
                </c:pt>
                <c:pt idx="27">
                  <c:v>-1475.182637337816</c:v>
                </c:pt>
                <c:pt idx="28">
                  <c:v>-1475.182637337816</c:v>
                </c:pt>
                <c:pt idx="29">
                  <c:v>-1475.182637337816</c:v>
                </c:pt>
                <c:pt idx="30">
                  <c:v>-1475.182637337816</c:v>
                </c:pt>
                <c:pt idx="31">
                  <c:v>-1475.182637337816</c:v>
                </c:pt>
                <c:pt idx="32">
                  <c:v>-1475.182637337816</c:v>
                </c:pt>
                <c:pt idx="33">
                  <c:v>-1475.182637337816</c:v>
                </c:pt>
                <c:pt idx="34">
                  <c:v>-1475.182637337816</c:v>
                </c:pt>
                <c:pt idx="35">
                  <c:v>-1475.182637337816</c:v>
                </c:pt>
                <c:pt idx="36">
                  <c:v>-1475.182637337816</c:v>
                </c:pt>
                <c:pt idx="37">
                  <c:v>-1475.182637337816</c:v>
                </c:pt>
                <c:pt idx="38">
                  <c:v>-1475.182637337816</c:v>
                </c:pt>
                <c:pt idx="39">
                  <c:v>-1475.182637337816</c:v>
                </c:pt>
                <c:pt idx="40">
                  <c:v>-1475.182637337816</c:v>
                </c:pt>
                <c:pt idx="41">
                  <c:v>-1475.182637337816</c:v>
                </c:pt>
                <c:pt idx="42">
                  <c:v>-1475.182637337816</c:v>
                </c:pt>
                <c:pt idx="43">
                  <c:v>-1475.182637337816</c:v>
                </c:pt>
                <c:pt idx="44">
                  <c:v>-1475.182637337816</c:v>
                </c:pt>
                <c:pt idx="45">
                  <c:v>-1475.182637337816</c:v>
                </c:pt>
                <c:pt idx="46">
                  <c:v>-1475.182637337816</c:v>
                </c:pt>
                <c:pt idx="47">
                  <c:v>-1475.182637337816</c:v>
                </c:pt>
                <c:pt idx="48">
                  <c:v>-1475.182637337816</c:v>
                </c:pt>
                <c:pt idx="49">
                  <c:v>-1475.182637337816</c:v>
                </c:pt>
                <c:pt idx="50">
                  <c:v>-1475.182637337816</c:v>
                </c:pt>
                <c:pt idx="51">
                  <c:v>-1475.182637337816</c:v>
                </c:pt>
                <c:pt idx="52">
                  <c:v>-1475.182637337816</c:v>
                </c:pt>
                <c:pt idx="53">
                  <c:v>-1475.182637337816</c:v>
                </c:pt>
                <c:pt idx="54">
                  <c:v>-1475.182637337816</c:v>
                </c:pt>
                <c:pt idx="55">
                  <c:v>-1475.182637337816</c:v>
                </c:pt>
                <c:pt idx="56">
                  <c:v>-1475.182637337816</c:v>
                </c:pt>
                <c:pt idx="57">
                  <c:v>-1475.182637337816</c:v>
                </c:pt>
                <c:pt idx="58">
                  <c:v>-1475.182637337816</c:v>
                </c:pt>
                <c:pt idx="59">
                  <c:v>-1475.182637337816</c:v>
                </c:pt>
                <c:pt idx="60">
                  <c:v>-1475.182637337816</c:v>
                </c:pt>
                <c:pt idx="61">
                  <c:v>-1475.182637337816</c:v>
                </c:pt>
                <c:pt idx="62">
                  <c:v>-1475.182637337816</c:v>
                </c:pt>
                <c:pt idx="63">
                  <c:v>-1475.182637337816</c:v>
                </c:pt>
                <c:pt idx="64">
                  <c:v>-1475.182637337816</c:v>
                </c:pt>
                <c:pt idx="65">
                  <c:v>-1475.182637337816</c:v>
                </c:pt>
                <c:pt idx="66">
                  <c:v>-1475.182637337816</c:v>
                </c:pt>
                <c:pt idx="67">
                  <c:v>-1475.182637337816</c:v>
                </c:pt>
                <c:pt idx="68">
                  <c:v>-1475.182637337816</c:v>
                </c:pt>
                <c:pt idx="69">
                  <c:v>-1475.182637337816</c:v>
                </c:pt>
                <c:pt idx="70">
                  <c:v>-1475.182637337816</c:v>
                </c:pt>
                <c:pt idx="71">
                  <c:v>-1475.182637337816</c:v>
                </c:pt>
                <c:pt idx="72">
                  <c:v>-1475.182637337816</c:v>
                </c:pt>
                <c:pt idx="73">
                  <c:v>-1475.182637337816</c:v>
                </c:pt>
                <c:pt idx="74">
                  <c:v>-1475.182637337816</c:v>
                </c:pt>
                <c:pt idx="75">
                  <c:v>-1475.182637337816</c:v>
                </c:pt>
                <c:pt idx="76">
                  <c:v>-1475.182637337816</c:v>
                </c:pt>
                <c:pt idx="77">
                  <c:v>-1475.182637337816</c:v>
                </c:pt>
                <c:pt idx="78">
                  <c:v>-1475.182637337816</c:v>
                </c:pt>
                <c:pt idx="79">
                  <c:v>-1475.182637337816</c:v>
                </c:pt>
                <c:pt idx="80">
                  <c:v>-1475.182637337816</c:v>
                </c:pt>
                <c:pt idx="81">
                  <c:v>-1475.182637337816</c:v>
                </c:pt>
                <c:pt idx="82">
                  <c:v>-1475.182637337816</c:v>
                </c:pt>
                <c:pt idx="83">
                  <c:v>-1475.182637337816</c:v>
                </c:pt>
                <c:pt idx="84">
                  <c:v>-1475.182637337816</c:v>
                </c:pt>
                <c:pt idx="85">
                  <c:v>-1475.182637337816</c:v>
                </c:pt>
                <c:pt idx="86">
                  <c:v>-1475.182637337816</c:v>
                </c:pt>
                <c:pt idx="87">
                  <c:v>-1475.182637337816</c:v>
                </c:pt>
                <c:pt idx="88">
                  <c:v>-1475.182637337816</c:v>
                </c:pt>
                <c:pt idx="89">
                  <c:v>-1475.182637337816</c:v>
                </c:pt>
                <c:pt idx="90">
                  <c:v>-1475.182637337816</c:v>
                </c:pt>
                <c:pt idx="91">
                  <c:v>-1475.182637337816</c:v>
                </c:pt>
                <c:pt idx="92">
                  <c:v>-1475.182637337816</c:v>
                </c:pt>
                <c:pt idx="93">
                  <c:v>-1475.182637337816</c:v>
                </c:pt>
                <c:pt idx="94">
                  <c:v>-1475.182637337816</c:v>
                </c:pt>
                <c:pt idx="95">
                  <c:v>-1475.182637337816</c:v>
                </c:pt>
                <c:pt idx="96">
                  <c:v>-1475.182637337816</c:v>
                </c:pt>
                <c:pt idx="97">
                  <c:v>-1475.182637337816</c:v>
                </c:pt>
                <c:pt idx="98">
                  <c:v>-1475.182637337816</c:v>
                </c:pt>
                <c:pt idx="99">
                  <c:v>-1475.182637337816</c:v>
                </c:pt>
                <c:pt idx="100">
                  <c:v>-1475.182637337816</c:v>
                </c:pt>
                <c:pt idx="101">
                  <c:v>-1475.182637337816</c:v>
                </c:pt>
                <c:pt idx="102">
                  <c:v>-1475.174943431927</c:v>
                </c:pt>
                <c:pt idx="103">
                  <c:v>-1475.1222187088506</c:v>
                </c:pt>
                <c:pt idx="104">
                  <c:v>-1474.9825357752368</c:v>
                </c:pt>
                <c:pt idx="105">
                  <c:v>-1474.7173301291759</c:v>
                </c:pt>
                <c:pt idx="106">
                  <c:v>-1474.2913754330541</c:v>
                </c:pt>
                <c:pt idx="107">
                  <c:v>-1473.6727590042731</c:v>
                </c:pt>
                <c:pt idx="108">
                  <c:v>-1472.8328575215892</c:v>
                </c:pt>
                <c:pt idx="109">
                  <c:v>-1471.7463129448718</c:v>
                </c:pt>
                <c:pt idx="110">
                  <c:v>-1470.3910086460869</c:v>
                </c:pt>
                <c:pt idx="111">
                  <c:v>-1468.7480457493555</c:v>
                </c:pt>
                <c:pt idx="112">
                  <c:v>-1466.8017196779522</c:v>
                </c:pt>
                <c:pt idx="113">
                  <c:v>-1464.5394969061254</c:v>
                </c:pt>
                <c:pt idx="114">
                  <c:v>-1461.9519919136744</c:v>
                </c:pt>
                <c:pt idx="115">
                  <c:v>-1459.0329443412024</c:v>
                </c:pt>
                <c:pt idx="116">
                  <c:v>-1455.7791963440272</c:v>
                </c:pt>
                <c:pt idx="117">
                  <c:v>-1452.1906701427226</c:v>
                </c:pt>
                <c:pt idx="118">
                  <c:v>-1448.2703457683137</c:v>
                </c:pt>
                <c:pt idx="119">
                  <c:v>-1444.0242390001538</c:v>
                </c:pt>
                <c:pt idx="120">
                  <c:v>-1439.4613794945335</c:v>
                </c:pt>
                <c:pt idx="121">
                  <c:v>-1434.5937891021188</c:v>
                </c:pt>
                <c:pt idx="122">
                  <c:v>-1429.4338005562065</c:v>
                </c:pt>
                <c:pt idx="123">
                  <c:v>-1423.9850754330541</c:v>
                </c:pt>
                <c:pt idx="124">
                  <c:v>-1418.2488547208152</c:v>
                </c:pt>
                <c:pt idx="125">
                  <c:v>-1412.2263723061378</c:v>
                </c:pt>
                <c:pt idx="126">
                  <c:v>-1405.9188550248907</c:v>
                </c:pt>
                <c:pt idx="127">
                  <c:v>-1399.3275227124504</c:v>
                </c:pt>
                <c:pt idx="128">
                  <c:v>-1392.453588253567</c:v>
                </c:pt>
                <c:pt idx="129">
                  <c:v>-1385.2982576317943</c:v>
                </c:pt>
                <c:pt idx="130">
                  <c:v>-1358.9106640103637</c:v>
                </c:pt>
                <c:pt idx="131">
                  <c:v>-1314.3983385933766</c:v>
                </c:pt>
                <c:pt idx="132">
                  <c:v>-1269.6081940450752</c:v>
                </c:pt>
                <c:pt idx="133">
                  <c:v>-1224.541409230216</c:v>
                </c:pt>
                <c:pt idx="134">
                  <c:v>-1179.1991563533245</c:v>
                </c:pt>
                <c:pt idx="135">
                  <c:v>-1133.5826010056364</c:v>
                </c:pt>
                <c:pt idx="136">
                  <c:v>-1087.6929022116731</c:v>
                </c:pt>
                <c:pt idx="137">
                  <c:v>-1087.6929022116758</c:v>
                </c:pt>
                <c:pt idx="138">
                  <c:v>-1068.4169930703461</c:v>
                </c:pt>
                <c:pt idx="139">
                  <c:v>-1049.1135963274894</c:v>
                </c:pt>
                <c:pt idx="140">
                  <c:v>-1029.7819049893678</c:v>
                </c:pt>
                <c:pt idx="141">
                  <c:v>-1010.4210801605868</c:v>
                </c:pt>
                <c:pt idx="142">
                  <c:v>-991.0302494519625</c:v>
                </c:pt>
                <c:pt idx="143">
                  <c:v>-971.608505292073</c:v>
                </c:pt>
                <c:pt idx="144">
                  <c:v>-952.15490313563237</c:v>
                </c:pt>
                <c:pt idx="145">
                  <c:v>-932.66845956125371</c:v>
                </c:pt>
                <c:pt idx="146">
                  <c:v>-913.14815025054884</c:v>
                </c:pt>
                <c:pt idx="147">
                  <c:v>-893.59290783984352</c:v>
                </c:pt>
                <c:pt idx="148">
                  <c:v>-874.00161963503695</c:v>
                </c:pt>
                <c:pt idx="149">
                  <c:v>-854.3731251793231</c:v>
                </c:pt>
                <c:pt idx="150">
                  <c:v>-834.70621366260889</c:v>
                </c:pt>
                <c:pt idx="151">
                  <c:v>-814.99962116046584</c:v>
                </c:pt>
                <c:pt idx="152">
                  <c:v>-795.25202768939562</c:v>
                </c:pt>
                <c:pt idx="153">
                  <c:v>-775.46205406398178</c:v>
                </c:pt>
                <c:pt idx="154">
                  <c:v>-755.62825854020787</c:v>
                </c:pt>
                <c:pt idx="155">
                  <c:v>-735.74913322777354</c:v>
                </c:pt>
                <c:pt idx="156">
                  <c:v>-715.8231002526436</c:v>
                </c:pt>
                <c:pt idx="157">
                  <c:v>-695.84850764930479</c:v>
                </c:pt>
                <c:pt idx="158">
                  <c:v>-675.8236249602636</c:v>
                </c:pt>
                <c:pt idx="159">
                  <c:v>-655.74663851813614</c:v>
                </c:pt>
                <c:pt idx="160">
                  <c:v>-635.61564638331083</c:v>
                </c:pt>
                <c:pt idx="161">
                  <c:v>-615.42865290747159</c:v>
                </c:pt>
                <c:pt idx="162">
                  <c:v>-595.18356289033079</c:v>
                </c:pt>
                <c:pt idx="163">
                  <c:v>-574.87817529360734</c:v>
                </c:pt>
                <c:pt idx="164">
                  <c:v>-554.51017647260824</c:v>
                </c:pt>
                <c:pt idx="165">
                  <c:v>-534.07713288166826</c:v>
                </c:pt>
                <c:pt idx="166">
                  <c:v>-513.5764832051027</c:v>
                </c:pt>
                <c:pt idx="167">
                  <c:v>-493.00552986018357</c:v>
                </c:pt>
                <c:pt idx="168">
                  <c:v>-472.36142981289441</c:v>
                </c:pt>
                <c:pt idx="169">
                  <c:v>-451.64118464071817</c:v>
                </c:pt>
                <c:pt idx="170">
                  <c:v>-430.84162976945566</c:v>
                </c:pt>
                <c:pt idx="171">
                  <c:v>-409.95942280283907</c:v>
                </c:pt>
                <c:pt idx="172">
                  <c:v>-388.99103085447052</c:v>
                </c:pt>
                <c:pt idx="173">
                  <c:v>-367.93271678113734</c:v>
                </c:pt>
                <c:pt idx="174">
                  <c:v>-346.78052420471772</c:v>
                </c:pt>
                <c:pt idx="175">
                  <c:v>-325.53026119646273</c:v>
                </c:pt>
                <c:pt idx="176">
                  <c:v>-304.17748248218174</c:v>
                </c:pt>
                <c:pt idx="177">
                  <c:v>-282.71747000949574</c:v>
                </c:pt>
                <c:pt idx="178">
                  <c:v>-261.14521169852475</c:v>
                </c:pt>
                <c:pt idx="179">
                  <c:v>-239.45537817476708</c:v>
                </c:pt>
                <c:pt idx="180">
                  <c:v>-217.64229725702154</c:v>
                </c:pt>
                <c:pt idx="181">
                  <c:v>-195.69992594352505</c:v>
                </c:pt>
                <c:pt idx="182">
                  <c:v>-173.62181960532035</c:v>
                </c:pt>
                <c:pt idx="183">
                  <c:v>-151.40109805654896</c:v>
                </c:pt>
                <c:pt idx="184">
                  <c:v>-129.03040812594676</c:v>
                </c:pt>
                <c:pt idx="185">
                  <c:v>-106.50188230125455</c:v>
                </c:pt>
                <c:pt idx="186">
                  <c:v>-83.807092957277547</c:v>
                </c:pt>
                <c:pt idx="187">
                  <c:v>-60.937001607396176</c:v>
                </c:pt>
                <c:pt idx="188">
                  <c:v>-37.881902535631092</c:v>
                </c:pt>
                <c:pt idx="189">
                  <c:v>-14.631360069647664</c:v>
                </c:pt>
                <c:pt idx="190">
                  <c:v>8.825861358284369</c:v>
                </c:pt>
                <c:pt idx="191">
                  <c:v>32.501875348684145</c:v>
                </c:pt>
                <c:pt idx="192">
                  <c:v>56.409761014141843</c:v>
                </c:pt>
                <c:pt idx="193">
                  <c:v>80.563661130019469</c:v>
                </c:pt>
                <c:pt idx="194">
                  <c:v>104.97889250683424</c:v>
                </c:pt>
                <c:pt idx="195">
                  <c:v>129.67207039744105</c:v>
                </c:pt>
                <c:pt idx="196">
                  <c:v>154.66124906616682</c:v>
                </c:pt>
                <c:pt idx="197">
                  <c:v>179.96608102369075</c:v>
                </c:pt>
                <c:pt idx="198">
                  <c:v>205.60799788475956</c:v>
                </c:pt>
                <c:pt idx="199">
                  <c:v>231.61041635364921</c:v>
                </c:pt>
                <c:pt idx="200">
                  <c:v>257.99897350694891</c:v>
                </c:pt>
                <c:pt idx="201">
                  <c:v>284.8017963531446</c:v>
                </c:pt>
                <c:pt idx="202">
                  <c:v>312.04981163981671</c:v>
                </c:pt>
                <c:pt idx="203">
                  <c:v>339.77710309823044</c:v>
                </c:pt>
                <c:pt idx="204">
                  <c:v>368.02132482141303</c:v>
                </c:pt>
                <c:pt idx="205">
                  <c:v>396.82418134267721</c:v>
                </c:pt>
                <c:pt idx="206">
                  <c:v>426.23198731774977</c:v>
                </c:pt>
                <c:pt idx="207">
                  <c:v>441.69745964912278</c:v>
                </c:pt>
                <c:pt idx="208">
                  <c:v>454.6181870711448</c:v>
                </c:pt>
                <c:pt idx="209">
                  <c:v>468.31761904761896</c:v>
                </c:pt>
                <c:pt idx="210">
                  <c:v>482.86833908707325</c:v>
                </c:pt>
                <c:pt idx="211">
                  <c:v>498.35224069675382</c:v>
                </c:pt>
                <c:pt idx="212">
                  <c:v>514.86206952965233</c:v>
                </c:pt>
                <c:pt idx="213">
                  <c:v>532.50328257191177</c:v>
                </c:pt>
                <c:pt idx="214">
                  <c:v>551.39630310994289</c:v>
                </c:pt>
                <c:pt idx="215">
                  <c:v>571.67927338782931</c:v>
                </c:pt>
                <c:pt idx="216">
                  <c:v>593.51143800094303</c:v>
                </c:pt>
                <c:pt idx="217">
                  <c:v>617.07733333333351</c:v>
                </c:pt>
                <c:pt idx="218">
                  <c:v>642.59201633486475</c:v>
                </c:pt>
                <c:pt idx="219">
                  <c:v>670.30764643237512</c:v>
                </c:pt>
                <c:pt idx="220">
                  <c:v>700.52184752365065</c:v>
                </c:pt>
                <c:pt idx="221">
                  <c:v>733.58843822843858</c:v>
                </c:pt>
                <c:pt idx="222">
                  <c:v>769.93135168195749</c:v>
                </c:pt>
                <c:pt idx="223">
                  <c:v>810.06290862290939</c:v>
                </c:pt>
                <c:pt idx="224">
                  <c:v>854.60811948404671</c:v>
                </c:pt>
                <c:pt idx="225">
                  <c:v>904.33747126436833</c:v>
                </c:pt>
                <c:pt idx="226">
                  <c:v>960.2118688024417</c:v>
                </c:pt>
                <c:pt idx="227">
                  <c:v>1023.4453333333345</c:v>
                </c:pt>
                <c:pt idx="228">
                  <c:v>1095.5942210617943</c:v>
                </c:pt>
                <c:pt idx="229">
                  <c:v>1178.6870411985037</c:v>
                </c:pt>
                <c:pt idx="230">
                  <c:v>1275.4181965552198</c:v>
                </c:pt>
                <c:pt idx="231">
                  <c:v>1389.4456512141307</c:v>
                </c:pt>
                <c:pt idx="232">
                  <c:v>1525.8639515151549</c:v>
                </c:pt>
                <c:pt idx="233">
                  <c:v>1691.9862365591448</c:v>
                </c:pt>
                <c:pt idx="234">
                  <c:v>1898.6994871794936</c:v>
                </c:pt>
                <c:pt idx="235">
                  <c:v>2368.0570849936389</c:v>
                </c:pt>
                <c:pt idx="236">
                  <c:v>2983.9986825605492</c:v>
                </c:pt>
                <c:pt idx="237">
                  <c:v>3734.8240805736968</c:v>
                </c:pt>
                <c:pt idx="238">
                  <c:v>3734.8240805736968</c:v>
                </c:pt>
                <c:pt idx="239">
                  <c:v>3862.4213713606778</c:v>
                </c:pt>
                <c:pt idx="240">
                  <c:v>3995.3613230423198</c:v>
                </c:pt>
                <c:pt idx="241">
                  <c:v>4022.6334345907367</c:v>
                </c:pt>
                <c:pt idx="242">
                  <c:v>4210.1354477355553</c:v>
                </c:pt>
                <c:pt idx="243">
                  <c:v>4378.9077423618537</c:v>
                </c:pt>
                <c:pt idx="244">
                  <c:v>4530.2881555066706</c:v>
                </c:pt>
                <c:pt idx="245">
                  <c:v>4665.6145242070443</c:v>
                </c:pt>
                <c:pt idx="246">
                  <c:v>4786.2246855000103</c:v>
                </c:pt>
                <c:pt idx="247">
                  <c:v>4893.4564764226052</c:v>
                </c:pt>
                <c:pt idx="248">
                  <c:v>4988.6477340118681</c:v>
                </c:pt>
                <c:pt idx="249">
                  <c:v>5073.1362953048338</c:v>
                </c:pt>
                <c:pt idx="250">
                  <c:v>5148.2599973385395</c:v>
                </c:pt>
                <c:pt idx="251">
                  <c:v>5215.3566771500255</c:v>
                </c:pt>
                <c:pt idx="252">
                  <c:v>5275.7641717763236</c:v>
                </c:pt>
                <c:pt idx="253">
                  <c:v>5330.8203182544748</c:v>
                </c:pt>
                <c:pt idx="254">
                  <c:v>5381.862953621514</c:v>
                </c:pt>
                <c:pt idx="255">
                  <c:v>5425.7596644983068</c:v>
                </c:pt>
                <c:pt idx="256">
                  <c:v>5425.9826373378128</c:v>
                </c:pt>
              </c:numCache>
            </c:numRef>
          </c:xVal>
          <c:yVal>
            <c:numRef>
              <c:f>'caldom x'!$X$21:$X$277</c:f>
              <c:numCache>
                <c:formatCode>0</c:formatCod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2.690367757052183E-3</c:v>
                </c:pt>
                <c:pt idx="103">
                  <c:v>2.1107154014408588E-2</c:v>
                </c:pt>
                <c:pt idx="104">
                  <c:v>6.9839390829652542E-2</c:v>
                </c:pt>
                <c:pt idx="105">
                  <c:v>0.16224742529121042</c:v>
                </c:pt>
                <c:pt idx="106">
                  <c:v>0.31047608893558382</c:v>
                </c:pt>
                <c:pt idx="107">
                  <c:v>0.52546771475675702</c:v>
                </c:pt>
                <c:pt idx="108">
                  <c:v>0.81697500374448295</c:v>
                </c:pt>
                <c:pt idx="109">
                  <c:v>1.1935737428617477</c:v>
                </c:pt>
                <c:pt idx="110">
                  <c:v>1.6626753763450681</c:v>
                </c:pt>
                <c:pt idx="111">
                  <c:v>2.2305394321842789</c:v>
                </c:pt>
                <c:pt idx="112">
                  <c:v>2.9022858056138752</c:v>
                </c:pt>
                <c:pt idx="113">
                  <c:v>3.6819069014213381</c:v>
                </c:pt>
                <c:pt idx="114">
                  <c:v>4.5722796368536356</c:v>
                </c:pt>
                <c:pt idx="115">
                  <c:v>5.5751773068782091</c:v>
                </c:pt>
                <c:pt idx="116">
                  <c:v>6.6912813135295508</c:v>
                </c:pt>
                <c:pt idx="117">
                  <c:v>7.9201927610509095</c:v>
                </c:pt>
                <c:pt idx="118">
                  <c:v>9.2604439185139533</c:v>
                </c:pt>
                <c:pt idx="119">
                  <c:v>10.709509551578641</c:v>
                </c:pt>
                <c:pt idx="120">
                  <c:v>12.2638181250315</c:v>
                </c:pt>
                <c:pt idx="121">
                  <c:v>13.918762877717613</c:v>
                </c:pt>
                <c:pt idx="122">
                  <c:v>15.669643080354124</c:v>
                </c:pt>
                <c:pt idx="123">
                  <c:v>17.514803773669392</c:v>
                </c:pt>
                <c:pt idx="124">
                  <c:v>19.453442202439636</c:v>
                </c:pt>
                <c:pt idx="125">
                  <c:v>21.484762476818055</c:v>
                </c:pt>
                <c:pt idx="126">
                  <c:v>23.607975507094263</c:v>
                </c:pt>
                <c:pt idx="127">
                  <c:v>25.822298939149945</c:v>
                </c:pt>
                <c:pt idx="128">
                  <c:v>28.126957090602367</c:v>
                </c:pt>
                <c:pt idx="129">
                  <c:v>30.521180887630344</c:v>
                </c:pt>
                <c:pt idx="130">
                  <c:v>39.220485440021037</c:v>
                </c:pt>
                <c:pt idx="131">
                  <c:v>53.86123555279994</c:v>
                </c:pt>
                <c:pt idx="132">
                  <c:v>68.589283119331597</c:v>
                </c:pt>
                <c:pt idx="133">
                  <c:v>83.403884881613635</c:v>
                </c:pt>
                <c:pt idx="134">
                  <c:v>98.304303884244888</c:v>
                </c:pt>
                <c:pt idx="135">
                  <c:v>113.28980941517541</c:v>
                </c:pt>
                <c:pt idx="136">
                  <c:v>128.35967694707082</c:v>
                </c:pt>
                <c:pt idx="137">
                  <c:v>128.35967694706994</c:v>
                </c:pt>
                <c:pt idx="138">
                  <c:v>134.67503872996431</c:v>
                </c:pt>
                <c:pt idx="139">
                  <c:v>140.99890120657227</c:v>
                </c:pt>
                <c:pt idx="140">
                  <c:v>147.33150277019976</c:v>
                </c:pt>
                <c:pt idx="141">
                  <c:v>153.67309079210276</c:v>
                </c:pt>
                <c:pt idx="142">
                  <c:v>160.02392204706871</c:v>
                </c:pt>
                <c:pt idx="143">
                  <c:v>166.38426316337049</c:v>
                </c:pt>
                <c:pt idx="144">
                  <c:v>172.75439109872812</c:v>
                </c:pt>
                <c:pt idx="145">
                  <c:v>179.13459364404576</c:v>
                </c:pt>
                <c:pt idx="146">
                  <c:v>185.52516995682598</c:v>
                </c:pt>
                <c:pt idx="147">
                  <c:v>191.92643112631427</c:v>
                </c:pt>
                <c:pt idx="148">
                  <c:v>198.33870077258933</c:v>
                </c:pt>
                <c:pt idx="149">
                  <c:v>204.76231568199447</c:v>
                </c:pt>
                <c:pt idx="150">
                  <c:v>211.19762648149569</c:v>
                </c:pt>
                <c:pt idx="151">
                  <c:v>217.64499835476934</c:v>
                </c:pt>
                <c:pt idx="152">
                  <c:v>224.10481180304751</c:v>
                </c:pt>
                <c:pt idx="153">
                  <c:v>230.57746345400739</c:v>
                </c:pt>
                <c:pt idx="154">
                  <c:v>237.06336692226643</c:v>
                </c:pt>
                <c:pt idx="155">
                  <c:v>243.56295372534532</c:v>
                </c:pt>
                <c:pt idx="156">
                  <c:v>250.0766742592987</c:v>
                </c:pt>
                <c:pt idx="157">
                  <c:v>256.60499883857517</c:v>
                </c:pt>
                <c:pt idx="158">
                  <c:v>263.14841880506776</c:v>
                </c:pt>
                <c:pt idx="159">
                  <c:v>269.70744771176106</c:v>
                </c:pt>
                <c:pt idx="160">
                  <c:v>276.28262258686044</c:v>
                </c:pt>
                <c:pt idx="161">
                  <c:v>282.87450528482714</c:v>
                </c:pt>
                <c:pt idx="162">
                  <c:v>289.48368393132961</c:v>
                </c:pt>
                <c:pt idx="163">
                  <c:v>296.11077446976822</c:v>
                </c:pt>
                <c:pt idx="164">
                  <c:v>302.75642231775333</c:v>
                </c:pt>
                <c:pt idx="165">
                  <c:v>309.42130414270491</c:v>
                </c:pt>
                <c:pt idx="166">
                  <c:v>316.10612976661992</c:v>
                </c:pt>
                <c:pt idx="167">
                  <c:v>322.81164421103011</c:v>
                </c:pt>
                <c:pt idx="168">
                  <c:v>329.53862989424329</c:v>
                </c:pt>
                <c:pt idx="169">
                  <c:v>336.2879089941685</c:v>
                </c:pt>
                <c:pt idx="170">
                  <c:v>343.06034599134597</c:v>
                </c:pt>
                <c:pt idx="171">
                  <c:v>349.85685040829156</c:v>
                </c:pt>
                <c:pt idx="172">
                  <c:v>356.67837976290946</c:v>
                </c:pt>
                <c:pt idx="173">
                  <c:v>363.52594275556754</c:v>
                </c:pt>
                <c:pt idx="174">
                  <c:v>370.40060271148468</c:v>
                </c:pt>
                <c:pt idx="175">
                  <c:v>377.30348130237127</c:v>
                </c:pt>
                <c:pt idx="176">
                  <c:v>384.23576257383371</c:v>
                </c:pt>
                <c:pt idx="177">
                  <c:v>391.19869730793141</c:v>
                </c:pt>
                <c:pt idx="178">
                  <c:v>398.19360775349833</c:v>
                </c:pt>
                <c:pt idx="179">
                  <c:v>405.22189276046561</c:v>
                </c:pt>
                <c:pt idx="180">
                  <c:v>412.2850333584974</c:v>
                </c:pt>
                <c:pt idx="181">
                  <c:v>419.38459882482709</c:v>
                </c:pt>
                <c:pt idx="182">
                  <c:v>426.52225329135757</c:v>
                </c:pt>
                <c:pt idx="183">
                  <c:v>433.6997629469048</c:v>
                </c:pt>
                <c:pt idx="184">
                  <c:v>440.91900389704909</c:v>
                </c:pt>
                <c:pt idx="185">
                  <c:v>448.18197075149368</c:v>
                </c:pt>
                <c:pt idx="186">
                  <c:v>455.49078601725</c:v>
                </c:pt>
                <c:pt idx="187">
                  <c:v>462.84771038549962</c:v>
                </c:pt>
                <c:pt idx="188">
                  <c:v>470.25515401079787</c:v>
                </c:pt>
                <c:pt idx="189">
                  <c:v>477.71568889355086</c:v>
                </c:pt>
                <c:pt idx="190">
                  <c:v>485.23206249062883</c:v>
                </c:pt>
                <c:pt idx="191">
                  <c:v>492.80721269480858</c:v>
                </c:pt>
                <c:pt idx="192">
                  <c:v>500.44428434173585</c:v>
                </c:pt>
                <c:pt idx="193">
                  <c:v>508.14664742355444</c:v>
                </c:pt>
                <c:pt idx="194">
                  <c:v>515.9179172116128</c:v>
                </c:pt>
                <c:pt idx="195">
                  <c:v>523.76197651709811</c:v>
                </c:pt>
                <c:pt idx="196">
                  <c:v>531.68300034845674</c:v>
                </c:pt>
                <c:pt idx="197">
                  <c:v>539.6854832585143</c:v>
                </c:pt>
                <c:pt idx="198">
                  <c:v>547.77426971270597</c:v>
                </c:pt>
                <c:pt idx="199">
                  <c:v>555.95458785328958</c:v>
                </c:pt>
                <c:pt idx="200">
                  <c:v>564.23208708320647</c:v>
                </c:pt>
                <c:pt idx="201">
                  <c:v>572.61287994771772</c:v>
                </c:pt>
                <c:pt idx="202">
                  <c:v>581.10358885223877</c:v>
                </c:pt>
                <c:pt idx="203">
                  <c:v>589.71139822069176</c:v>
                </c:pt>
                <c:pt idx="204">
                  <c:v>598.44411276949461</c:v>
                </c:pt>
                <c:pt idx="205">
                  <c:v>607.31022264636385</c:v>
                </c:pt>
                <c:pt idx="206">
                  <c:v>616.31897625738861</c:v>
                </c:pt>
                <c:pt idx="207">
                  <c:v>620.69203461164216</c:v>
                </c:pt>
                <c:pt idx="208">
                  <c:v>624.15992768750095</c:v>
                </c:pt>
                <c:pt idx="209">
                  <c:v>627.80362196857243</c:v>
                </c:pt>
                <c:pt idx="210">
                  <c:v>631.63631312437474</c:v>
                </c:pt>
                <c:pt idx="211">
                  <c:v>635.67246697698147</c:v>
                </c:pt>
                <c:pt idx="212">
                  <c:v>639.92795760770798</c:v>
                </c:pt>
                <c:pt idx="213">
                  <c:v>644.42021848612603</c:v>
                </c:pt>
                <c:pt idx="214">
                  <c:v>649.16840590287109</c:v>
                </c:pt>
                <c:pt idx="215">
                  <c:v>654.19357257025888</c:v>
                </c:pt>
                <c:pt idx="216">
                  <c:v>659.51884691978262</c:v>
                </c:pt>
                <c:pt idx="217">
                  <c:v>665.16960983111733</c:v>
                </c:pt>
                <c:pt idx="218">
                  <c:v>671.17365440074934</c:v>
                </c:pt>
                <c:pt idx="219">
                  <c:v>677.5613044799577</c:v>
                </c:pt>
                <c:pt idx="220">
                  <c:v>684.36545174334753</c:v>
                </c:pt>
                <c:pt idx="221">
                  <c:v>691.62144508625136</c:v>
                </c:pt>
                <c:pt idx="222">
                  <c:v>699.36672357139469</c:v>
                </c:pt>
                <c:pt idx="223">
                  <c:v>707.64001352858941</c:v>
                </c:pt>
                <c:pt idx="224">
                  <c:v>716.47979165863399</c:v>
                </c:pt>
                <c:pt idx="225">
                  <c:v>725.92151297387454</c:v>
                </c:pt>
                <c:pt idx="226">
                  <c:v>735.99274857777812</c:v>
                </c:pt>
                <c:pt idx="227">
                  <c:v>746.70474771347028</c:v>
                </c:pt>
                <c:pt idx="228">
                  <c:v>758.03778551682308</c:v>
                </c:pt>
                <c:pt idx="229">
                  <c:v>769.91548644645854</c:v>
                </c:pt>
                <c:pt idx="230">
                  <c:v>782.15908207091343</c:v>
                </c:pt>
                <c:pt idx="231">
                  <c:v>794.40398509007662</c:v>
                </c:pt>
                <c:pt idx="232">
                  <c:v>805.94285820074288</c:v>
                </c:pt>
                <c:pt idx="233">
                  <c:v>815.41857421086854</c:v>
                </c:pt>
                <c:pt idx="234">
                  <c:v>820.19301543083839</c:v>
                </c:pt>
                <c:pt idx="235">
                  <c:v>747.69129465172693</c:v>
                </c:pt>
                <c:pt idx="236">
                  <c:v>633.89985366162023</c:v>
                </c:pt>
                <c:pt idx="237">
                  <c:v>473.09467763903979</c:v>
                </c:pt>
                <c:pt idx="238">
                  <c:v>473.09467763903979</c:v>
                </c:pt>
                <c:pt idx="239">
                  <c:v>442.19380818167815</c:v>
                </c:pt>
                <c:pt idx="240">
                  <c:v>408.65801654346831</c:v>
                </c:pt>
                <c:pt idx="241">
                  <c:v>401.60093850103971</c:v>
                </c:pt>
                <c:pt idx="242">
                  <c:v>338.83780597225535</c:v>
                </c:pt>
                <c:pt idx="243">
                  <c:v>285.63574880149605</c:v>
                </c:pt>
                <c:pt idx="244">
                  <c:v>240.61679484061344</c:v>
                </c:pt>
                <c:pt idx="245">
                  <c:v>202.5099989044221</c:v>
                </c:pt>
                <c:pt idx="246">
                  <c:v>170.15144277069939</c:v>
                </c:pt>
                <c:pt idx="247">
                  <c:v>142.48423518018691</c:v>
                </c:pt>
                <c:pt idx="248">
                  <c:v>118.55851183658767</c:v>
                </c:pt>
                <c:pt idx="249">
                  <c:v>97.531435406569003</c:v>
                </c:pt>
                <c:pt idx="250">
                  <c:v>78.667195519760426</c:v>
                </c:pt>
                <c:pt idx="251">
                  <c:v>61.337008768753918</c:v>
                </c:pt>
                <c:pt idx="252">
                  <c:v>45.019118709105371</c:v>
                </c:pt>
                <c:pt idx="253">
                  <c:v>29.298795859333545</c:v>
                </c:pt>
                <c:pt idx="254">
                  <c:v>13.868337700920074</c:v>
                </c:pt>
                <c:pt idx="255">
                  <c:v>-6.689185186326504E-3</c:v>
                </c:pt>
                <c:pt idx="256">
                  <c:v>-1.1324882507324219E-12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'caldom x'!$W$21:$W$277</c:f>
              <c:numCache>
                <c:formatCode>0</c:formatCode>
                <c:ptCount val="257"/>
                <c:pt idx="0">
                  <c:v>-1475.182637337816</c:v>
                </c:pt>
                <c:pt idx="1">
                  <c:v>-1475.182637337816</c:v>
                </c:pt>
                <c:pt idx="2">
                  <c:v>-1475.182637337816</c:v>
                </c:pt>
                <c:pt idx="3">
                  <c:v>-1475.182637337816</c:v>
                </c:pt>
                <c:pt idx="4">
                  <c:v>-1475.182637337816</c:v>
                </c:pt>
                <c:pt idx="5">
                  <c:v>-1475.182637337816</c:v>
                </c:pt>
                <c:pt idx="6">
                  <c:v>-1475.182637337816</c:v>
                </c:pt>
                <c:pt idx="7">
                  <c:v>-1475.182637337816</c:v>
                </c:pt>
                <c:pt idx="8">
                  <c:v>-1475.182637337816</c:v>
                </c:pt>
                <c:pt idx="9">
                  <c:v>-1475.182637337816</c:v>
                </c:pt>
                <c:pt idx="10">
                  <c:v>-1475.182637337816</c:v>
                </c:pt>
                <c:pt idx="11">
                  <c:v>-1475.182637337816</c:v>
                </c:pt>
                <c:pt idx="12">
                  <c:v>-1475.182637337816</c:v>
                </c:pt>
                <c:pt idx="13">
                  <c:v>-1475.182637337816</c:v>
                </c:pt>
                <c:pt idx="14">
                  <c:v>-1475.182637337816</c:v>
                </c:pt>
                <c:pt idx="15">
                  <c:v>-1475.182637337816</c:v>
                </c:pt>
                <c:pt idx="16">
                  <c:v>-1475.182637337816</c:v>
                </c:pt>
                <c:pt idx="17">
                  <c:v>-1475.182637337816</c:v>
                </c:pt>
                <c:pt idx="18">
                  <c:v>-1475.182637337816</c:v>
                </c:pt>
                <c:pt idx="19">
                  <c:v>-1475.182637337816</c:v>
                </c:pt>
                <c:pt idx="20">
                  <c:v>-1475.182637337816</c:v>
                </c:pt>
                <c:pt idx="21">
                  <c:v>-1475.182637337816</c:v>
                </c:pt>
                <c:pt idx="22">
                  <c:v>-1475.182637337816</c:v>
                </c:pt>
                <c:pt idx="23">
                  <c:v>-1475.182637337816</c:v>
                </c:pt>
                <c:pt idx="24">
                  <c:v>-1475.182637337816</c:v>
                </c:pt>
                <c:pt idx="25">
                  <c:v>-1475.182637337816</c:v>
                </c:pt>
                <c:pt idx="26">
                  <c:v>-1475.182637337816</c:v>
                </c:pt>
                <c:pt idx="27">
                  <c:v>-1475.182637337816</c:v>
                </c:pt>
                <c:pt idx="28">
                  <c:v>-1475.182637337816</c:v>
                </c:pt>
                <c:pt idx="29">
                  <c:v>-1475.182637337816</c:v>
                </c:pt>
                <c:pt idx="30">
                  <c:v>-1475.182637337816</c:v>
                </c:pt>
                <c:pt idx="31">
                  <c:v>-1475.182637337816</c:v>
                </c:pt>
                <c:pt idx="32">
                  <c:v>-1475.182637337816</c:v>
                </c:pt>
                <c:pt idx="33">
                  <c:v>-1475.182637337816</c:v>
                </c:pt>
                <c:pt idx="34">
                  <c:v>-1475.182637337816</c:v>
                </c:pt>
                <c:pt idx="35">
                  <c:v>-1475.182637337816</c:v>
                </c:pt>
                <c:pt idx="36">
                  <c:v>-1475.182637337816</c:v>
                </c:pt>
                <c:pt idx="37">
                  <c:v>-1475.182637337816</c:v>
                </c:pt>
                <c:pt idx="38">
                  <c:v>-1475.182637337816</c:v>
                </c:pt>
                <c:pt idx="39">
                  <c:v>-1475.182637337816</c:v>
                </c:pt>
                <c:pt idx="40">
                  <c:v>-1475.182637337816</c:v>
                </c:pt>
                <c:pt idx="41">
                  <c:v>-1475.182637337816</c:v>
                </c:pt>
                <c:pt idx="42">
                  <c:v>-1475.182637337816</c:v>
                </c:pt>
                <c:pt idx="43">
                  <c:v>-1475.182637337816</c:v>
                </c:pt>
                <c:pt idx="44">
                  <c:v>-1475.182637337816</c:v>
                </c:pt>
                <c:pt idx="45">
                  <c:v>-1475.182637337816</c:v>
                </c:pt>
                <c:pt idx="46">
                  <c:v>-1475.182637337816</c:v>
                </c:pt>
                <c:pt idx="47">
                  <c:v>-1475.182637337816</c:v>
                </c:pt>
                <c:pt idx="48">
                  <c:v>-1475.182637337816</c:v>
                </c:pt>
                <c:pt idx="49">
                  <c:v>-1475.182637337816</c:v>
                </c:pt>
                <c:pt idx="50">
                  <c:v>-1475.182637337816</c:v>
                </c:pt>
                <c:pt idx="51">
                  <c:v>-1475.182637337816</c:v>
                </c:pt>
                <c:pt idx="52">
                  <c:v>-1475.182637337816</c:v>
                </c:pt>
                <c:pt idx="53">
                  <c:v>-1475.182637337816</c:v>
                </c:pt>
                <c:pt idx="54">
                  <c:v>-1475.182637337816</c:v>
                </c:pt>
                <c:pt idx="55">
                  <c:v>-1475.182637337816</c:v>
                </c:pt>
                <c:pt idx="56">
                  <c:v>-1475.182637337816</c:v>
                </c:pt>
                <c:pt idx="57">
                  <c:v>-1475.182637337816</c:v>
                </c:pt>
                <c:pt idx="58">
                  <c:v>-1475.182637337816</c:v>
                </c:pt>
                <c:pt idx="59">
                  <c:v>-1475.182637337816</c:v>
                </c:pt>
                <c:pt idx="60">
                  <c:v>-1475.182637337816</c:v>
                </c:pt>
                <c:pt idx="61">
                  <c:v>-1475.182637337816</c:v>
                </c:pt>
                <c:pt idx="62">
                  <c:v>-1475.182637337816</c:v>
                </c:pt>
                <c:pt idx="63">
                  <c:v>-1475.182637337816</c:v>
                </c:pt>
                <c:pt idx="64">
                  <c:v>-1475.182637337816</c:v>
                </c:pt>
                <c:pt idx="65">
                  <c:v>-1475.182637337816</c:v>
                </c:pt>
                <c:pt idx="66">
                  <c:v>-1475.182637337816</c:v>
                </c:pt>
                <c:pt idx="67">
                  <c:v>-1475.182637337816</c:v>
                </c:pt>
                <c:pt idx="68">
                  <c:v>-1475.182637337816</c:v>
                </c:pt>
                <c:pt idx="69">
                  <c:v>-1475.182637337816</c:v>
                </c:pt>
                <c:pt idx="70">
                  <c:v>-1475.182637337816</c:v>
                </c:pt>
                <c:pt idx="71">
                  <c:v>-1475.182637337816</c:v>
                </c:pt>
                <c:pt idx="72">
                  <c:v>-1475.182637337816</c:v>
                </c:pt>
                <c:pt idx="73">
                  <c:v>-1475.182637337816</c:v>
                </c:pt>
                <c:pt idx="74">
                  <c:v>-1475.182637337816</c:v>
                </c:pt>
                <c:pt idx="75">
                  <c:v>-1475.182637337816</c:v>
                </c:pt>
                <c:pt idx="76">
                  <c:v>-1475.182637337816</c:v>
                </c:pt>
                <c:pt idx="77">
                  <c:v>-1475.182637337816</c:v>
                </c:pt>
                <c:pt idx="78">
                  <c:v>-1475.182637337816</c:v>
                </c:pt>
                <c:pt idx="79">
                  <c:v>-1475.182637337816</c:v>
                </c:pt>
                <c:pt idx="80">
                  <c:v>-1475.182637337816</c:v>
                </c:pt>
                <c:pt idx="81">
                  <c:v>-1475.182637337816</c:v>
                </c:pt>
                <c:pt idx="82">
                  <c:v>-1475.182637337816</c:v>
                </c:pt>
                <c:pt idx="83">
                  <c:v>-1475.182637337816</c:v>
                </c:pt>
                <c:pt idx="84">
                  <c:v>-1475.182637337816</c:v>
                </c:pt>
                <c:pt idx="85">
                  <c:v>-1475.182637337816</c:v>
                </c:pt>
                <c:pt idx="86">
                  <c:v>-1475.182637337816</c:v>
                </c:pt>
                <c:pt idx="87">
                  <c:v>-1475.182637337816</c:v>
                </c:pt>
                <c:pt idx="88">
                  <c:v>-1475.182637337816</c:v>
                </c:pt>
                <c:pt idx="89">
                  <c:v>-1475.182637337816</c:v>
                </c:pt>
                <c:pt idx="90">
                  <c:v>-1475.182637337816</c:v>
                </c:pt>
                <c:pt idx="91">
                  <c:v>-1475.182637337816</c:v>
                </c:pt>
                <c:pt idx="92">
                  <c:v>-1475.182637337816</c:v>
                </c:pt>
                <c:pt idx="93">
                  <c:v>-1475.182637337816</c:v>
                </c:pt>
                <c:pt idx="94">
                  <c:v>-1475.182637337816</c:v>
                </c:pt>
                <c:pt idx="95">
                  <c:v>-1475.182637337816</c:v>
                </c:pt>
                <c:pt idx="96">
                  <c:v>-1475.182637337816</c:v>
                </c:pt>
                <c:pt idx="97">
                  <c:v>-1475.182637337816</c:v>
                </c:pt>
                <c:pt idx="98">
                  <c:v>-1475.182637337816</c:v>
                </c:pt>
                <c:pt idx="99">
                  <c:v>-1475.182637337816</c:v>
                </c:pt>
                <c:pt idx="100">
                  <c:v>-1475.182637337816</c:v>
                </c:pt>
                <c:pt idx="101">
                  <c:v>-1475.182637337816</c:v>
                </c:pt>
                <c:pt idx="102">
                  <c:v>-1475.174943431927</c:v>
                </c:pt>
                <c:pt idx="103">
                  <c:v>-1475.1222187088506</c:v>
                </c:pt>
                <c:pt idx="104">
                  <c:v>-1474.9825357752368</c:v>
                </c:pt>
                <c:pt idx="105">
                  <c:v>-1474.7173301291759</c:v>
                </c:pt>
                <c:pt idx="106">
                  <c:v>-1474.2913754330541</c:v>
                </c:pt>
                <c:pt idx="107">
                  <c:v>-1473.6727590042731</c:v>
                </c:pt>
                <c:pt idx="108">
                  <c:v>-1472.8328575215892</c:v>
                </c:pt>
                <c:pt idx="109">
                  <c:v>-1471.7463129448718</c:v>
                </c:pt>
                <c:pt idx="110">
                  <c:v>-1470.3910086460869</c:v>
                </c:pt>
                <c:pt idx="111">
                  <c:v>-1468.7480457493555</c:v>
                </c:pt>
                <c:pt idx="112">
                  <c:v>-1466.8017196779522</c:v>
                </c:pt>
                <c:pt idx="113">
                  <c:v>-1464.5394969061254</c:v>
                </c:pt>
                <c:pt idx="114">
                  <c:v>-1461.9519919136744</c:v>
                </c:pt>
                <c:pt idx="115">
                  <c:v>-1459.0329443412024</c:v>
                </c:pt>
                <c:pt idx="116">
                  <c:v>-1455.7791963440272</c:v>
                </c:pt>
                <c:pt idx="117">
                  <c:v>-1452.1906701427226</c:v>
                </c:pt>
                <c:pt idx="118">
                  <c:v>-1448.2703457683137</c:v>
                </c:pt>
                <c:pt idx="119">
                  <c:v>-1444.0242390001538</c:v>
                </c:pt>
                <c:pt idx="120">
                  <c:v>-1439.4613794945335</c:v>
                </c:pt>
                <c:pt idx="121">
                  <c:v>-1434.5937891021188</c:v>
                </c:pt>
                <c:pt idx="122">
                  <c:v>-1429.4338005562065</c:v>
                </c:pt>
                <c:pt idx="123">
                  <c:v>-1423.9850754330541</c:v>
                </c:pt>
                <c:pt idx="124">
                  <c:v>-1418.2488547208152</c:v>
                </c:pt>
                <c:pt idx="125">
                  <c:v>-1412.2263723061378</c:v>
                </c:pt>
                <c:pt idx="126">
                  <c:v>-1405.9188550248907</c:v>
                </c:pt>
                <c:pt idx="127">
                  <c:v>-1399.3275227124504</c:v>
                </c:pt>
                <c:pt idx="128">
                  <c:v>-1392.453588253567</c:v>
                </c:pt>
                <c:pt idx="129">
                  <c:v>-1385.2982576317943</c:v>
                </c:pt>
                <c:pt idx="130">
                  <c:v>-1358.9106640103637</c:v>
                </c:pt>
                <c:pt idx="131">
                  <c:v>-1314.3983385933766</c:v>
                </c:pt>
                <c:pt idx="132">
                  <c:v>-1269.6081940450752</c:v>
                </c:pt>
                <c:pt idx="133">
                  <c:v>-1224.541409230216</c:v>
                </c:pt>
                <c:pt idx="134">
                  <c:v>-1179.1991563533245</c:v>
                </c:pt>
                <c:pt idx="135">
                  <c:v>-1133.5826010056364</c:v>
                </c:pt>
                <c:pt idx="136">
                  <c:v>-1087.6929022116731</c:v>
                </c:pt>
                <c:pt idx="137">
                  <c:v>-1087.6929022116758</c:v>
                </c:pt>
                <c:pt idx="138">
                  <c:v>-1068.4169930703461</c:v>
                </c:pt>
                <c:pt idx="139">
                  <c:v>-1049.1135963274894</c:v>
                </c:pt>
                <c:pt idx="140">
                  <c:v>-1029.7819049893678</c:v>
                </c:pt>
                <c:pt idx="141">
                  <c:v>-1010.4210801605868</c:v>
                </c:pt>
                <c:pt idx="142">
                  <c:v>-991.0302494519625</c:v>
                </c:pt>
                <c:pt idx="143">
                  <c:v>-971.608505292073</c:v>
                </c:pt>
                <c:pt idx="144">
                  <c:v>-952.15490313563237</c:v>
                </c:pt>
                <c:pt idx="145">
                  <c:v>-932.66845956125371</c:v>
                </c:pt>
                <c:pt idx="146">
                  <c:v>-913.14815025054884</c:v>
                </c:pt>
                <c:pt idx="147">
                  <c:v>-893.59290783984352</c:v>
                </c:pt>
                <c:pt idx="148">
                  <c:v>-874.00161963503695</c:v>
                </c:pt>
                <c:pt idx="149">
                  <c:v>-854.3731251793231</c:v>
                </c:pt>
                <c:pt idx="150">
                  <c:v>-834.70621366260889</c:v>
                </c:pt>
                <c:pt idx="151">
                  <c:v>-814.99962116046584</c:v>
                </c:pt>
                <c:pt idx="152">
                  <c:v>-795.25202768939562</c:v>
                </c:pt>
                <c:pt idx="153">
                  <c:v>-775.46205406398178</c:v>
                </c:pt>
                <c:pt idx="154">
                  <c:v>-755.62825854020787</c:v>
                </c:pt>
                <c:pt idx="155">
                  <c:v>-735.74913322777354</c:v>
                </c:pt>
                <c:pt idx="156">
                  <c:v>-715.8231002526436</c:v>
                </c:pt>
                <c:pt idx="157">
                  <c:v>-695.84850764930479</c:v>
                </c:pt>
                <c:pt idx="158">
                  <c:v>-675.8236249602636</c:v>
                </c:pt>
                <c:pt idx="159">
                  <c:v>-655.74663851813614</c:v>
                </c:pt>
                <c:pt idx="160">
                  <c:v>-635.61564638331083</c:v>
                </c:pt>
                <c:pt idx="161">
                  <c:v>-615.42865290747159</c:v>
                </c:pt>
                <c:pt idx="162">
                  <c:v>-595.18356289033079</c:v>
                </c:pt>
                <c:pt idx="163">
                  <c:v>-574.87817529360734</c:v>
                </c:pt>
                <c:pt idx="164">
                  <c:v>-554.51017647260824</c:v>
                </c:pt>
                <c:pt idx="165">
                  <c:v>-534.07713288166826</c:v>
                </c:pt>
                <c:pt idx="166">
                  <c:v>-513.5764832051027</c:v>
                </c:pt>
                <c:pt idx="167">
                  <c:v>-493.00552986018357</c:v>
                </c:pt>
                <c:pt idx="168">
                  <c:v>-472.36142981289441</c:v>
                </c:pt>
                <c:pt idx="169">
                  <c:v>-451.64118464071817</c:v>
                </c:pt>
                <c:pt idx="170">
                  <c:v>-430.84162976945566</c:v>
                </c:pt>
                <c:pt idx="171">
                  <c:v>-409.95942280283907</c:v>
                </c:pt>
                <c:pt idx="172">
                  <c:v>-388.99103085447052</c:v>
                </c:pt>
                <c:pt idx="173">
                  <c:v>-367.93271678113734</c:v>
                </c:pt>
                <c:pt idx="174">
                  <c:v>-346.78052420471772</c:v>
                </c:pt>
                <c:pt idx="175">
                  <c:v>-325.53026119646273</c:v>
                </c:pt>
                <c:pt idx="176">
                  <c:v>-304.17748248218174</c:v>
                </c:pt>
                <c:pt idx="177">
                  <c:v>-282.71747000949574</c:v>
                </c:pt>
                <c:pt idx="178">
                  <c:v>-261.14521169852475</c:v>
                </c:pt>
                <c:pt idx="179">
                  <c:v>-239.45537817476708</c:v>
                </c:pt>
                <c:pt idx="180">
                  <c:v>-217.64229725702154</c:v>
                </c:pt>
                <c:pt idx="181">
                  <c:v>-195.69992594352505</c:v>
                </c:pt>
                <c:pt idx="182">
                  <c:v>-173.62181960532035</c:v>
                </c:pt>
                <c:pt idx="183">
                  <c:v>-151.40109805654896</c:v>
                </c:pt>
                <c:pt idx="184">
                  <c:v>-129.03040812594676</c:v>
                </c:pt>
                <c:pt idx="185">
                  <c:v>-106.50188230125455</c:v>
                </c:pt>
                <c:pt idx="186">
                  <c:v>-83.807092957277547</c:v>
                </c:pt>
                <c:pt idx="187">
                  <c:v>-60.937001607396176</c:v>
                </c:pt>
                <c:pt idx="188">
                  <c:v>-37.881902535631092</c:v>
                </c:pt>
                <c:pt idx="189">
                  <c:v>-14.631360069647664</c:v>
                </c:pt>
                <c:pt idx="190">
                  <c:v>8.825861358284369</c:v>
                </c:pt>
                <c:pt idx="191">
                  <c:v>32.501875348684145</c:v>
                </c:pt>
                <c:pt idx="192">
                  <c:v>56.409761014141843</c:v>
                </c:pt>
                <c:pt idx="193">
                  <c:v>80.563661130019469</c:v>
                </c:pt>
                <c:pt idx="194">
                  <c:v>104.97889250683424</c:v>
                </c:pt>
                <c:pt idx="195">
                  <c:v>129.67207039744105</c:v>
                </c:pt>
                <c:pt idx="196">
                  <c:v>154.66124906616682</c:v>
                </c:pt>
                <c:pt idx="197">
                  <c:v>179.96608102369075</c:v>
                </c:pt>
                <c:pt idx="198">
                  <c:v>205.60799788475956</c:v>
                </c:pt>
                <c:pt idx="199">
                  <c:v>231.61041635364921</c:v>
                </c:pt>
                <c:pt idx="200">
                  <c:v>257.99897350694891</c:v>
                </c:pt>
                <c:pt idx="201">
                  <c:v>284.8017963531446</c:v>
                </c:pt>
                <c:pt idx="202">
                  <c:v>312.04981163981671</c:v>
                </c:pt>
                <c:pt idx="203">
                  <c:v>339.77710309823044</c:v>
                </c:pt>
                <c:pt idx="204">
                  <c:v>368.02132482141303</c:v>
                </c:pt>
                <c:pt idx="205">
                  <c:v>396.82418134267721</c:v>
                </c:pt>
                <c:pt idx="206">
                  <c:v>426.23198731774977</c:v>
                </c:pt>
                <c:pt idx="207">
                  <c:v>441.69745964912278</c:v>
                </c:pt>
                <c:pt idx="208">
                  <c:v>454.6181870711448</c:v>
                </c:pt>
                <c:pt idx="209">
                  <c:v>468.31761904761896</c:v>
                </c:pt>
                <c:pt idx="210">
                  <c:v>482.86833908707325</c:v>
                </c:pt>
                <c:pt idx="211">
                  <c:v>498.35224069675382</c:v>
                </c:pt>
                <c:pt idx="212">
                  <c:v>514.86206952965233</c:v>
                </c:pt>
                <c:pt idx="213">
                  <c:v>532.50328257191177</c:v>
                </c:pt>
                <c:pt idx="214">
                  <c:v>551.39630310994289</c:v>
                </c:pt>
                <c:pt idx="215">
                  <c:v>571.67927338782931</c:v>
                </c:pt>
                <c:pt idx="216">
                  <c:v>593.51143800094303</c:v>
                </c:pt>
                <c:pt idx="217">
                  <c:v>617.07733333333351</c:v>
                </c:pt>
                <c:pt idx="218">
                  <c:v>642.59201633486475</c:v>
                </c:pt>
                <c:pt idx="219">
                  <c:v>670.30764643237512</c:v>
                </c:pt>
                <c:pt idx="220">
                  <c:v>700.52184752365065</c:v>
                </c:pt>
                <c:pt idx="221">
                  <c:v>733.58843822843858</c:v>
                </c:pt>
                <c:pt idx="222">
                  <c:v>769.93135168195749</c:v>
                </c:pt>
                <c:pt idx="223">
                  <c:v>810.06290862290939</c:v>
                </c:pt>
                <c:pt idx="224">
                  <c:v>854.60811948404671</c:v>
                </c:pt>
                <c:pt idx="225">
                  <c:v>904.33747126436833</c:v>
                </c:pt>
                <c:pt idx="226">
                  <c:v>960.2118688024417</c:v>
                </c:pt>
                <c:pt idx="227">
                  <c:v>1023.4453333333345</c:v>
                </c:pt>
                <c:pt idx="228">
                  <c:v>1095.5942210617943</c:v>
                </c:pt>
                <c:pt idx="229">
                  <c:v>1178.6870411985037</c:v>
                </c:pt>
                <c:pt idx="230">
                  <c:v>1275.4181965552198</c:v>
                </c:pt>
                <c:pt idx="231">
                  <c:v>1389.4456512141307</c:v>
                </c:pt>
                <c:pt idx="232">
                  <c:v>1525.8639515151549</c:v>
                </c:pt>
                <c:pt idx="233">
                  <c:v>1691.9862365591448</c:v>
                </c:pt>
                <c:pt idx="234">
                  <c:v>1898.6994871794936</c:v>
                </c:pt>
                <c:pt idx="235">
                  <c:v>2368.0570849936389</c:v>
                </c:pt>
                <c:pt idx="236">
                  <c:v>2983.9986825605492</c:v>
                </c:pt>
                <c:pt idx="237">
                  <c:v>3734.8240805736968</c:v>
                </c:pt>
                <c:pt idx="238">
                  <c:v>3734.8240805736968</c:v>
                </c:pt>
                <c:pt idx="239">
                  <c:v>3862.4213713606778</c:v>
                </c:pt>
                <c:pt idx="240">
                  <c:v>3995.3613230423198</c:v>
                </c:pt>
                <c:pt idx="241">
                  <c:v>4022.6334345907367</c:v>
                </c:pt>
                <c:pt idx="242">
                  <c:v>4210.1354477355553</c:v>
                </c:pt>
                <c:pt idx="243">
                  <c:v>4378.9077423618537</c:v>
                </c:pt>
                <c:pt idx="244">
                  <c:v>4530.2881555066706</c:v>
                </c:pt>
                <c:pt idx="245">
                  <c:v>4665.6145242070443</c:v>
                </c:pt>
                <c:pt idx="246">
                  <c:v>4786.2246855000103</c:v>
                </c:pt>
                <c:pt idx="247">
                  <c:v>4893.4564764226052</c:v>
                </c:pt>
                <c:pt idx="248">
                  <c:v>4988.6477340118681</c:v>
                </c:pt>
                <c:pt idx="249">
                  <c:v>5073.1362953048338</c:v>
                </c:pt>
                <c:pt idx="250">
                  <c:v>5148.2599973385395</c:v>
                </c:pt>
                <c:pt idx="251">
                  <c:v>5215.3566771500255</c:v>
                </c:pt>
                <c:pt idx="252">
                  <c:v>5275.7641717763236</c:v>
                </c:pt>
                <c:pt idx="253">
                  <c:v>5330.8203182544748</c:v>
                </c:pt>
                <c:pt idx="254">
                  <c:v>5381.862953621514</c:v>
                </c:pt>
                <c:pt idx="255">
                  <c:v>5425.7596644983068</c:v>
                </c:pt>
                <c:pt idx="256">
                  <c:v>5425.9826373378128</c:v>
                </c:pt>
              </c:numCache>
            </c:numRef>
          </c:xVal>
          <c:yVal>
            <c:numRef>
              <c:f>'caldom x'!$Y$21:$Y$277</c:f>
              <c:numCache>
                <c:formatCode>0</c:formatCod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-2.690367757052183E-3</c:v>
                </c:pt>
                <c:pt idx="103">
                  <c:v>-2.1107154014408588E-2</c:v>
                </c:pt>
                <c:pt idx="104">
                  <c:v>-6.9839390829652542E-2</c:v>
                </c:pt>
                <c:pt idx="105">
                  <c:v>-0.16224742529121042</c:v>
                </c:pt>
                <c:pt idx="106">
                  <c:v>-0.31047608893558382</c:v>
                </c:pt>
                <c:pt idx="107">
                  <c:v>-0.52546771475675702</c:v>
                </c:pt>
                <c:pt idx="108">
                  <c:v>-0.81697500374448295</c:v>
                </c:pt>
                <c:pt idx="109">
                  <c:v>-1.1935737428617477</c:v>
                </c:pt>
                <c:pt idx="110">
                  <c:v>-1.6626753763450681</c:v>
                </c:pt>
                <c:pt idx="111">
                  <c:v>-2.2305394321842789</c:v>
                </c:pt>
                <c:pt idx="112">
                  <c:v>-2.9022858056138752</c:v>
                </c:pt>
                <c:pt idx="113">
                  <c:v>-3.6819069014213381</c:v>
                </c:pt>
                <c:pt idx="114">
                  <c:v>-4.5722796368536356</c:v>
                </c:pt>
                <c:pt idx="115">
                  <c:v>-5.5751773068782091</c:v>
                </c:pt>
                <c:pt idx="116">
                  <c:v>-6.6912813135295508</c:v>
                </c:pt>
                <c:pt idx="117">
                  <c:v>-7.9201927610509095</c:v>
                </c:pt>
                <c:pt idx="118">
                  <c:v>-9.2604439185139533</c:v>
                </c:pt>
                <c:pt idx="119">
                  <c:v>-10.709509551578641</c:v>
                </c:pt>
                <c:pt idx="120">
                  <c:v>-12.2638181250315</c:v>
                </c:pt>
                <c:pt idx="121">
                  <c:v>-13.918762877717613</c:v>
                </c:pt>
                <c:pt idx="122">
                  <c:v>-15.669643080354124</c:v>
                </c:pt>
                <c:pt idx="123">
                  <c:v>-17.514803773669392</c:v>
                </c:pt>
                <c:pt idx="124">
                  <c:v>-19.453442202439636</c:v>
                </c:pt>
                <c:pt idx="125">
                  <c:v>-21.484762476818055</c:v>
                </c:pt>
                <c:pt idx="126">
                  <c:v>-23.607975507094263</c:v>
                </c:pt>
                <c:pt idx="127">
                  <c:v>-25.822298939149945</c:v>
                </c:pt>
                <c:pt idx="128">
                  <c:v>-28.126957090602367</c:v>
                </c:pt>
                <c:pt idx="129">
                  <c:v>-30.521180887630344</c:v>
                </c:pt>
                <c:pt idx="130">
                  <c:v>-39.220485440021037</c:v>
                </c:pt>
                <c:pt idx="131">
                  <c:v>-53.86123555279994</c:v>
                </c:pt>
                <c:pt idx="132">
                  <c:v>-68.589283119331597</c:v>
                </c:pt>
                <c:pt idx="133">
                  <c:v>-83.403884881613635</c:v>
                </c:pt>
                <c:pt idx="134">
                  <c:v>-98.304303884244888</c:v>
                </c:pt>
                <c:pt idx="135">
                  <c:v>-113.28980941517541</c:v>
                </c:pt>
                <c:pt idx="136">
                  <c:v>-128.35967694707082</c:v>
                </c:pt>
                <c:pt idx="137">
                  <c:v>-128.35967694706994</c:v>
                </c:pt>
                <c:pt idx="138">
                  <c:v>-134.67503872996431</c:v>
                </c:pt>
                <c:pt idx="139">
                  <c:v>-140.99890120657227</c:v>
                </c:pt>
                <c:pt idx="140">
                  <c:v>-147.33150277019976</c:v>
                </c:pt>
                <c:pt idx="141">
                  <c:v>-153.67309079210276</c:v>
                </c:pt>
                <c:pt idx="142">
                  <c:v>-160.02392204706871</c:v>
                </c:pt>
                <c:pt idx="143">
                  <c:v>-166.38426316337049</c:v>
                </c:pt>
                <c:pt idx="144">
                  <c:v>-172.75439109872812</c:v>
                </c:pt>
                <c:pt idx="145">
                  <c:v>-179.13459364404576</c:v>
                </c:pt>
                <c:pt idx="146">
                  <c:v>-185.52516995682598</c:v>
                </c:pt>
                <c:pt idx="147">
                  <c:v>-191.92643112631427</c:v>
                </c:pt>
                <c:pt idx="148">
                  <c:v>-198.33870077258933</c:v>
                </c:pt>
                <c:pt idx="149">
                  <c:v>-204.76231568199447</c:v>
                </c:pt>
                <c:pt idx="150">
                  <c:v>-211.19762648149569</c:v>
                </c:pt>
                <c:pt idx="151">
                  <c:v>-217.64499835476934</c:v>
                </c:pt>
                <c:pt idx="152">
                  <c:v>-224.10481180304751</c:v>
                </c:pt>
                <c:pt idx="153">
                  <c:v>-230.57746345400739</c:v>
                </c:pt>
                <c:pt idx="154">
                  <c:v>-237.06336692226643</c:v>
                </c:pt>
                <c:pt idx="155">
                  <c:v>-243.56295372534532</c:v>
                </c:pt>
                <c:pt idx="156">
                  <c:v>-250.0766742592987</c:v>
                </c:pt>
                <c:pt idx="157">
                  <c:v>-256.60499883857517</c:v>
                </c:pt>
                <c:pt idx="158">
                  <c:v>-263.14841880506776</c:v>
                </c:pt>
                <c:pt idx="159">
                  <c:v>-269.70744771176106</c:v>
                </c:pt>
                <c:pt idx="160">
                  <c:v>-276.28262258686044</c:v>
                </c:pt>
                <c:pt idx="161">
                  <c:v>-282.87450528482714</c:v>
                </c:pt>
                <c:pt idx="162">
                  <c:v>-289.48368393132961</c:v>
                </c:pt>
                <c:pt idx="163">
                  <c:v>-296.11077446976822</c:v>
                </c:pt>
                <c:pt idx="164">
                  <c:v>-302.75642231775333</c:v>
                </c:pt>
                <c:pt idx="165">
                  <c:v>-309.42130414270491</c:v>
                </c:pt>
                <c:pt idx="166">
                  <c:v>-316.10612976661992</c:v>
                </c:pt>
                <c:pt idx="167">
                  <c:v>-322.81164421103011</c:v>
                </c:pt>
                <c:pt idx="168">
                  <c:v>-329.53862989424329</c:v>
                </c:pt>
                <c:pt idx="169">
                  <c:v>-336.2879089941685</c:v>
                </c:pt>
                <c:pt idx="170">
                  <c:v>-343.06034599134597</c:v>
                </c:pt>
                <c:pt idx="171">
                  <c:v>-349.85685040829156</c:v>
                </c:pt>
                <c:pt idx="172">
                  <c:v>-356.67837976290946</c:v>
                </c:pt>
                <c:pt idx="173">
                  <c:v>-363.52594275556754</c:v>
                </c:pt>
                <c:pt idx="174">
                  <c:v>-370.40060271148468</c:v>
                </c:pt>
                <c:pt idx="175">
                  <c:v>-377.30348130237127</c:v>
                </c:pt>
                <c:pt idx="176">
                  <c:v>-384.23576257383371</c:v>
                </c:pt>
                <c:pt idx="177">
                  <c:v>-391.19869730793141</c:v>
                </c:pt>
                <c:pt idx="178">
                  <c:v>-398.19360775349833</c:v>
                </c:pt>
                <c:pt idx="179">
                  <c:v>-405.22189276046561</c:v>
                </c:pt>
                <c:pt idx="180">
                  <c:v>-412.2850333584974</c:v>
                </c:pt>
                <c:pt idx="181">
                  <c:v>-419.38459882482709</c:v>
                </c:pt>
                <c:pt idx="182">
                  <c:v>-426.52225329135757</c:v>
                </c:pt>
                <c:pt idx="183">
                  <c:v>-433.6997629469048</c:v>
                </c:pt>
                <c:pt idx="184">
                  <c:v>-440.91900389704909</c:v>
                </c:pt>
                <c:pt idx="185">
                  <c:v>-448.18197075149368</c:v>
                </c:pt>
                <c:pt idx="186">
                  <c:v>-455.49078601725</c:v>
                </c:pt>
                <c:pt idx="187">
                  <c:v>-462.84771038549962</c:v>
                </c:pt>
                <c:pt idx="188">
                  <c:v>-470.25515401079787</c:v>
                </c:pt>
                <c:pt idx="189">
                  <c:v>-477.71568889355086</c:v>
                </c:pt>
                <c:pt idx="190">
                  <c:v>-485.23206249062883</c:v>
                </c:pt>
                <c:pt idx="191">
                  <c:v>-492.80721269480858</c:v>
                </c:pt>
                <c:pt idx="192">
                  <c:v>-500.44428434173585</c:v>
                </c:pt>
                <c:pt idx="193">
                  <c:v>-508.14664742355444</c:v>
                </c:pt>
                <c:pt idx="194">
                  <c:v>-515.9179172116128</c:v>
                </c:pt>
                <c:pt idx="195">
                  <c:v>-523.76197651709811</c:v>
                </c:pt>
                <c:pt idx="196">
                  <c:v>-531.68300034845674</c:v>
                </c:pt>
                <c:pt idx="197">
                  <c:v>-539.6854832585143</c:v>
                </c:pt>
                <c:pt idx="198">
                  <c:v>-547.77426971270597</c:v>
                </c:pt>
                <c:pt idx="199">
                  <c:v>-555.95458785328958</c:v>
                </c:pt>
                <c:pt idx="200">
                  <c:v>-564.23208708320647</c:v>
                </c:pt>
                <c:pt idx="201">
                  <c:v>-572.61287994771772</c:v>
                </c:pt>
                <c:pt idx="202">
                  <c:v>-581.10358885223877</c:v>
                </c:pt>
                <c:pt idx="203">
                  <c:v>-589.71139822069176</c:v>
                </c:pt>
                <c:pt idx="204">
                  <c:v>-598.44411276949461</c:v>
                </c:pt>
                <c:pt idx="205">
                  <c:v>-607.31022264636385</c:v>
                </c:pt>
                <c:pt idx="206">
                  <c:v>-616.31897625738861</c:v>
                </c:pt>
                <c:pt idx="207">
                  <c:v>-620.69203461164216</c:v>
                </c:pt>
                <c:pt idx="208">
                  <c:v>-624.15992768750095</c:v>
                </c:pt>
                <c:pt idx="209">
                  <c:v>-627.80362196857243</c:v>
                </c:pt>
                <c:pt idx="210">
                  <c:v>-631.63631312437474</c:v>
                </c:pt>
                <c:pt idx="211">
                  <c:v>-635.67246697698147</c:v>
                </c:pt>
                <c:pt idx="212">
                  <c:v>-639.92795760770798</c:v>
                </c:pt>
                <c:pt idx="213">
                  <c:v>-644.42021848612603</c:v>
                </c:pt>
                <c:pt idx="214">
                  <c:v>-649.16840590287109</c:v>
                </c:pt>
                <c:pt idx="215">
                  <c:v>-654.19357257025888</c:v>
                </c:pt>
                <c:pt idx="216">
                  <c:v>-659.51884691978262</c:v>
                </c:pt>
                <c:pt idx="217">
                  <c:v>-665.16960983111733</c:v>
                </c:pt>
                <c:pt idx="218">
                  <c:v>-671.17365440074934</c:v>
                </c:pt>
                <c:pt idx="219">
                  <c:v>-677.5613044799577</c:v>
                </c:pt>
                <c:pt idx="220">
                  <c:v>-684.36545174334753</c:v>
                </c:pt>
                <c:pt idx="221">
                  <c:v>-691.62144508625136</c:v>
                </c:pt>
                <c:pt idx="222">
                  <c:v>-699.36672357139469</c:v>
                </c:pt>
                <c:pt idx="223">
                  <c:v>-707.64001352858941</c:v>
                </c:pt>
                <c:pt idx="224">
                  <c:v>-716.47979165863399</c:v>
                </c:pt>
                <c:pt idx="225">
                  <c:v>-725.92151297387454</c:v>
                </c:pt>
                <c:pt idx="226">
                  <c:v>-735.99274857777812</c:v>
                </c:pt>
                <c:pt idx="227">
                  <c:v>-746.70474771347028</c:v>
                </c:pt>
                <c:pt idx="228">
                  <c:v>-758.03778551682308</c:v>
                </c:pt>
                <c:pt idx="229">
                  <c:v>-769.91548644645854</c:v>
                </c:pt>
                <c:pt idx="230">
                  <c:v>-782.15908207091343</c:v>
                </c:pt>
                <c:pt idx="231">
                  <c:v>-794.40398509007662</c:v>
                </c:pt>
                <c:pt idx="232">
                  <c:v>-805.94285820074288</c:v>
                </c:pt>
                <c:pt idx="233">
                  <c:v>-815.41857421086854</c:v>
                </c:pt>
                <c:pt idx="234">
                  <c:v>-820.19301543083839</c:v>
                </c:pt>
                <c:pt idx="235">
                  <c:v>-747.69129465172693</c:v>
                </c:pt>
                <c:pt idx="236">
                  <c:v>-633.89985366162023</c:v>
                </c:pt>
                <c:pt idx="237">
                  <c:v>-473.09467763903979</c:v>
                </c:pt>
                <c:pt idx="238">
                  <c:v>-473.09467763903979</c:v>
                </c:pt>
                <c:pt idx="239">
                  <c:v>-442.19380818167815</c:v>
                </c:pt>
                <c:pt idx="240">
                  <c:v>-408.65801654346831</c:v>
                </c:pt>
                <c:pt idx="241">
                  <c:v>-401.60093850103971</c:v>
                </c:pt>
                <c:pt idx="242">
                  <c:v>-338.83780597225535</c:v>
                </c:pt>
                <c:pt idx="243">
                  <c:v>-285.63574880149605</c:v>
                </c:pt>
                <c:pt idx="244">
                  <c:v>-240.61679484061344</c:v>
                </c:pt>
                <c:pt idx="245">
                  <c:v>-202.5099989044221</c:v>
                </c:pt>
                <c:pt idx="246">
                  <c:v>-170.15144277069939</c:v>
                </c:pt>
                <c:pt idx="247">
                  <c:v>-142.48423518018691</c:v>
                </c:pt>
                <c:pt idx="248">
                  <c:v>-118.55851183658767</c:v>
                </c:pt>
                <c:pt idx="249">
                  <c:v>-97.531435406569003</c:v>
                </c:pt>
                <c:pt idx="250">
                  <c:v>-78.667195519760426</c:v>
                </c:pt>
                <c:pt idx="251">
                  <c:v>-61.337008768753918</c:v>
                </c:pt>
                <c:pt idx="252">
                  <c:v>-45.019118709105371</c:v>
                </c:pt>
                <c:pt idx="253">
                  <c:v>-29.298795859333545</c:v>
                </c:pt>
                <c:pt idx="254">
                  <c:v>-13.868337700920074</c:v>
                </c:pt>
                <c:pt idx="255">
                  <c:v>6.689185186326504E-3</c:v>
                </c:pt>
                <c:pt idx="256">
                  <c:v>1.1324882507324219E-12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3391504"/>
        <c:axId val="-1953390416"/>
      </c:scatterChart>
      <c:valAx>
        <c:axId val="-195339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953390416"/>
        <c:crosses val="autoZero"/>
        <c:crossBetween val="midCat"/>
      </c:valAx>
      <c:valAx>
        <c:axId val="-195339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953391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N-My  BASE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2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numRef>
              <c:f>DATI!$E$66</c:f>
              <c:numCache>
                <c:formatCode>0.0" kNm"</c:formatCode>
                <c:ptCount val="1"/>
                <c:pt idx="0">
                  <c:v>1706</c:v>
                </c:pt>
              </c:numCache>
            </c:numRef>
          </c:xVal>
          <c:yVal>
            <c:numRef>
              <c:f>DATI!$D$66</c:f>
              <c:numCache>
                <c:formatCode>0.0" kNm"</c:formatCode>
                <c:ptCount val="1"/>
                <c:pt idx="0">
                  <c:v>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402832"/>
        <c:axId val="-105399568"/>
      </c:scatterChar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'caldom y'!$W$21:$W$277</c:f>
              <c:numCache>
                <c:formatCode>0</c:formatCode>
                <c:ptCount val="257"/>
                <c:pt idx="0">
                  <c:v>-983.45509155854404</c:v>
                </c:pt>
                <c:pt idx="1">
                  <c:v>-983.45509155854404</c:v>
                </c:pt>
                <c:pt idx="2">
                  <c:v>-983.45509155854404</c:v>
                </c:pt>
                <c:pt idx="3">
                  <c:v>-983.45509155854404</c:v>
                </c:pt>
                <c:pt idx="4">
                  <c:v>-983.45509155854404</c:v>
                </c:pt>
                <c:pt idx="5">
                  <c:v>-983.45509155854404</c:v>
                </c:pt>
                <c:pt idx="6">
                  <c:v>-983.45509155854404</c:v>
                </c:pt>
                <c:pt idx="7">
                  <c:v>-983.45509155854404</c:v>
                </c:pt>
                <c:pt idx="8">
                  <c:v>-983.45509155854404</c:v>
                </c:pt>
                <c:pt idx="9">
                  <c:v>-983.45509155854404</c:v>
                </c:pt>
                <c:pt idx="10">
                  <c:v>-983.45509155854404</c:v>
                </c:pt>
                <c:pt idx="11">
                  <c:v>-983.45509155854404</c:v>
                </c:pt>
                <c:pt idx="12">
                  <c:v>-983.45509155854404</c:v>
                </c:pt>
                <c:pt idx="13">
                  <c:v>-983.45509155854404</c:v>
                </c:pt>
                <c:pt idx="14">
                  <c:v>-983.45509155854404</c:v>
                </c:pt>
                <c:pt idx="15">
                  <c:v>-983.45509155854404</c:v>
                </c:pt>
                <c:pt idx="16">
                  <c:v>-983.45509155854404</c:v>
                </c:pt>
                <c:pt idx="17">
                  <c:v>-983.45509155854404</c:v>
                </c:pt>
                <c:pt idx="18">
                  <c:v>-983.45509155854404</c:v>
                </c:pt>
                <c:pt idx="19">
                  <c:v>-983.45509155854404</c:v>
                </c:pt>
                <c:pt idx="20">
                  <c:v>-983.45509155854404</c:v>
                </c:pt>
                <c:pt idx="21">
                  <c:v>-983.45509155854404</c:v>
                </c:pt>
                <c:pt idx="22">
                  <c:v>-983.45509155854404</c:v>
                </c:pt>
                <c:pt idx="23">
                  <c:v>-983.45509155854404</c:v>
                </c:pt>
                <c:pt idx="24">
                  <c:v>-983.45509155854404</c:v>
                </c:pt>
                <c:pt idx="25">
                  <c:v>-983.45509155854404</c:v>
                </c:pt>
                <c:pt idx="26">
                  <c:v>-983.45509155854404</c:v>
                </c:pt>
                <c:pt idx="27">
                  <c:v>-983.45509155854404</c:v>
                </c:pt>
                <c:pt idx="28">
                  <c:v>-983.45509155854404</c:v>
                </c:pt>
                <c:pt idx="29">
                  <c:v>-983.45509155854404</c:v>
                </c:pt>
                <c:pt idx="30">
                  <c:v>-983.45509155854404</c:v>
                </c:pt>
                <c:pt idx="31">
                  <c:v>-983.45509155854404</c:v>
                </c:pt>
                <c:pt idx="32">
                  <c:v>-983.45509155854404</c:v>
                </c:pt>
                <c:pt idx="33">
                  <c:v>-983.45509155854404</c:v>
                </c:pt>
                <c:pt idx="34">
                  <c:v>-983.45509155854404</c:v>
                </c:pt>
                <c:pt idx="35">
                  <c:v>-983.45509155854404</c:v>
                </c:pt>
                <c:pt idx="36">
                  <c:v>-983.45509155854404</c:v>
                </c:pt>
                <c:pt idx="37">
                  <c:v>-983.45509155854404</c:v>
                </c:pt>
                <c:pt idx="38">
                  <c:v>-983.45509155854404</c:v>
                </c:pt>
                <c:pt idx="39">
                  <c:v>-983.45509155854404</c:v>
                </c:pt>
                <c:pt idx="40">
                  <c:v>-983.45509155854404</c:v>
                </c:pt>
                <c:pt idx="41">
                  <c:v>-983.45509155854404</c:v>
                </c:pt>
                <c:pt idx="42">
                  <c:v>-983.45509155854404</c:v>
                </c:pt>
                <c:pt idx="43">
                  <c:v>-983.45509155854404</c:v>
                </c:pt>
                <c:pt idx="44">
                  <c:v>-983.45509155854404</c:v>
                </c:pt>
                <c:pt idx="45">
                  <c:v>-983.45509155854404</c:v>
                </c:pt>
                <c:pt idx="46">
                  <c:v>-983.45509155854404</c:v>
                </c:pt>
                <c:pt idx="47">
                  <c:v>-983.45509155854404</c:v>
                </c:pt>
                <c:pt idx="48">
                  <c:v>-983.45509155854404</c:v>
                </c:pt>
                <c:pt idx="49">
                  <c:v>-983.45509155854404</c:v>
                </c:pt>
                <c:pt idx="50">
                  <c:v>-983.45509155854404</c:v>
                </c:pt>
                <c:pt idx="51">
                  <c:v>-983.45509155854404</c:v>
                </c:pt>
                <c:pt idx="52">
                  <c:v>-983.45509155854404</c:v>
                </c:pt>
                <c:pt idx="53">
                  <c:v>-983.45509155854404</c:v>
                </c:pt>
                <c:pt idx="54">
                  <c:v>-983.45509155854404</c:v>
                </c:pt>
                <c:pt idx="55">
                  <c:v>-983.45509155854404</c:v>
                </c:pt>
                <c:pt idx="56">
                  <c:v>-983.45509155854404</c:v>
                </c:pt>
                <c:pt idx="57">
                  <c:v>-983.45509155854404</c:v>
                </c:pt>
                <c:pt idx="58">
                  <c:v>-983.45509155854404</c:v>
                </c:pt>
                <c:pt idx="59">
                  <c:v>-983.45509155854404</c:v>
                </c:pt>
                <c:pt idx="60">
                  <c:v>-983.45509155854404</c:v>
                </c:pt>
                <c:pt idx="61">
                  <c:v>-983.45509155854404</c:v>
                </c:pt>
                <c:pt idx="62">
                  <c:v>-983.45509155854404</c:v>
                </c:pt>
                <c:pt idx="63">
                  <c:v>-983.45509155854404</c:v>
                </c:pt>
                <c:pt idx="64">
                  <c:v>-983.45509155854404</c:v>
                </c:pt>
                <c:pt idx="65">
                  <c:v>-983.45509155854404</c:v>
                </c:pt>
                <c:pt idx="66">
                  <c:v>-983.45509155854404</c:v>
                </c:pt>
                <c:pt idx="67">
                  <c:v>-983.45509155854404</c:v>
                </c:pt>
                <c:pt idx="68">
                  <c:v>-983.45509155854404</c:v>
                </c:pt>
                <c:pt idx="69">
                  <c:v>-983.45509155854404</c:v>
                </c:pt>
                <c:pt idx="70">
                  <c:v>-983.45509155854404</c:v>
                </c:pt>
                <c:pt idx="71">
                  <c:v>-983.45509155854404</c:v>
                </c:pt>
                <c:pt idx="72">
                  <c:v>-983.45509155854404</c:v>
                </c:pt>
                <c:pt idx="73">
                  <c:v>-983.45509155854404</c:v>
                </c:pt>
                <c:pt idx="74">
                  <c:v>-983.45509155854404</c:v>
                </c:pt>
                <c:pt idx="75">
                  <c:v>-983.45509155854404</c:v>
                </c:pt>
                <c:pt idx="76">
                  <c:v>-983.45509155854404</c:v>
                </c:pt>
                <c:pt idx="77">
                  <c:v>-983.45509155854404</c:v>
                </c:pt>
                <c:pt idx="78">
                  <c:v>-983.45509155854404</c:v>
                </c:pt>
                <c:pt idx="79">
                  <c:v>-983.45509155854404</c:v>
                </c:pt>
                <c:pt idx="80">
                  <c:v>-983.45509155854404</c:v>
                </c:pt>
                <c:pt idx="81">
                  <c:v>-983.45509155854404</c:v>
                </c:pt>
                <c:pt idx="82">
                  <c:v>-983.45509155854404</c:v>
                </c:pt>
                <c:pt idx="83">
                  <c:v>-983.45509155854404</c:v>
                </c:pt>
                <c:pt idx="84">
                  <c:v>-983.45509155854404</c:v>
                </c:pt>
                <c:pt idx="85">
                  <c:v>-983.45509155854404</c:v>
                </c:pt>
                <c:pt idx="86">
                  <c:v>-983.45509155854404</c:v>
                </c:pt>
                <c:pt idx="87">
                  <c:v>-983.45509155854404</c:v>
                </c:pt>
                <c:pt idx="88">
                  <c:v>-983.45509155854404</c:v>
                </c:pt>
                <c:pt idx="89">
                  <c:v>-983.45509155854404</c:v>
                </c:pt>
                <c:pt idx="90">
                  <c:v>-983.45509155854404</c:v>
                </c:pt>
                <c:pt idx="91">
                  <c:v>-983.45509155854404</c:v>
                </c:pt>
                <c:pt idx="92">
                  <c:v>-983.45509155854404</c:v>
                </c:pt>
                <c:pt idx="93">
                  <c:v>-983.45509155854404</c:v>
                </c:pt>
                <c:pt idx="94">
                  <c:v>-983.45509155854404</c:v>
                </c:pt>
                <c:pt idx="95">
                  <c:v>-983.45509155854404</c:v>
                </c:pt>
                <c:pt idx="96">
                  <c:v>-983.45509155854404</c:v>
                </c:pt>
                <c:pt idx="97">
                  <c:v>-983.45509155854404</c:v>
                </c:pt>
                <c:pt idx="98">
                  <c:v>-983.45509155854404</c:v>
                </c:pt>
                <c:pt idx="99">
                  <c:v>-983.45509155854404</c:v>
                </c:pt>
                <c:pt idx="100">
                  <c:v>-983.45509155854404</c:v>
                </c:pt>
                <c:pt idx="101">
                  <c:v>-983.45509155854404</c:v>
                </c:pt>
                <c:pt idx="102">
                  <c:v>-983.44778469365258</c:v>
                </c:pt>
                <c:pt idx="103">
                  <c:v>-983.39771228134077</c:v>
                </c:pt>
                <c:pt idx="104">
                  <c:v>-983.26505608066805</c:v>
                </c:pt>
                <c:pt idx="105">
                  <c:v>-983.01319157228977</c:v>
                </c:pt>
                <c:pt idx="106">
                  <c:v>-982.60866447521073</c:v>
                </c:pt>
                <c:pt idx="107">
                  <c:v>-982.0211674704384</c:v>
                </c:pt>
                <c:pt idx="108">
                  <c:v>-981.22351712941406</c:v>
                </c:pt>
                <c:pt idx="109">
                  <c:v>-980.19163104512302</c:v>
                </c:pt>
                <c:pt idx="110">
                  <c:v>-978.90450516380724</c:v>
                </c:pt>
                <c:pt idx="111">
                  <c:v>-977.34419131523509</c:v>
                </c:pt>
                <c:pt idx="112">
                  <c:v>-975.49577493949641</c:v>
                </c:pt>
                <c:pt idx="113">
                  <c:v>-973.34735300832563</c:v>
                </c:pt>
                <c:pt idx="114">
                  <c:v>-970.89001213897052</c:v>
                </c:pt>
                <c:pt idx="115">
                  <c:v>-968.11780689865043</c:v>
                </c:pt>
                <c:pt idx="116">
                  <c:v>-965.02773829767443</c:v>
                </c:pt>
                <c:pt idx="117">
                  <c:v>-961.61973246930143</c:v>
                </c:pt>
                <c:pt idx="118">
                  <c:v>-957.89661953445921</c:v>
                </c:pt>
                <c:pt idx="119">
                  <c:v>-953.86411264945332</c:v>
                </c:pt>
                <c:pt idx="120">
                  <c:v>-949.5307872348169</c:v>
                </c:pt>
                <c:pt idx="121">
                  <c:v>-944.9080603834841</c:v>
                </c:pt>
                <c:pt idx="122">
                  <c:v>-940.0076444321071</c:v>
                </c:pt>
                <c:pt idx="123">
                  <c:v>-934.83301676179633</c:v>
                </c:pt>
                <c:pt idx="124">
                  <c:v>-929.38535593294728</c:v>
                </c:pt>
                <c:pt idx="125">
                  <c:v>-923.66583376169149</c:v>
                </c:pt>
                <c:pt idx="126">
                  <c:v>-917.67561536806784</c:v>
                </c:pt>
                <c:pt idx="127">
                  <c:v>-911.41585922378397</c:v>
                </c:pt>
                <c:pt idx="128">
                  <c:v>-904.88771719957026</c:v>
                </c:pt>
                <c:pt idx="129">
                  <c:v>-898.09233461212386</c:v>
                </c:pt>
                <c:pt idx="130">
                  <c:v>-891.03085027066561</c:v>
                </c:pt>
                <c:pt idx="131">
                  <c:v>-883.70439652308312</c:v>
                </c:pt>
                <c:pt idx="132">
                  <c:v>-876.11409930169862</c:v>
                </c:pt>
                <c:pt idx="133">
                  <c:v>-868.26107816863396</c:v>
                </c:pt>
                <c:pt idx="134">
                  <c:v>-860.14644636080413</c:v>
                </c:pt>
                <c:pt idx="135">
                  <c:v>-851.7713108345198</c:v>
                </c:pt>
                <c:pt idx="136">
                  <c:v>-843.13677230971746</c:v>
                </c:pt>
                <c:pt idx="137">
                  <c:v>-843.13677230971791</c:v>
                </c:pt>
                <c:pt idx="138">
                  <c:v>-841.78995587896134</c:v>
                </c:pt>
                <c:pt idx="139">
                  <c:v>-840.41703460712051</c:v>
                </c:pt>
                <c:pt idx="140">
                  <c:v>-839.01724209617873</c:v>
                </c:pt>
                <c:pt idx="141">
                  <c:v>-837.58978165127246</c:v>
                </c:pt>
                <c:pt idx="142">
                  <c:v>-836.13382476864899</c:v>
                </c:pt>
                <c:pt idx="143">
                  <c:v>-834.64850953215637</c:v>
                </c:pt>
                <c:pt idx="144">
                  <c:v>-833.13293891174442</c:v>
                </c:pt>
                <c:pt idx="145">
                  <c:v>-831.58617895691816</c:v>
                </c:pt>
                <c:pt idx="146">
                  <c:v>-830.00725687750207</c:v>
                </c:pt>
                <c:pt idx="147">
                  <c:v>-828.3951590034211</c:v>
                </c:pt>
                <c:pt idx="148">
                  <c:v>-826.74882861451499</c:v>
                </c:pt>
                <c:pt idx="149">
                  <c:v>-825.06716363061639</c:v>
                </c:pt>
                <c:pt idx="150">
                  <c:v>-823.34901415128559</c:v>
                </c:pt>
                <c:pt idx="151">
                  <c:v>-821.59317983365941</c:v>
                </c:pt>
                <c:pt idx="152">
                  <c:v>-819.79840709584744</c:v>
                </c:pt>
                <c:pt idx="153">
                  <c:v>-817.96338613218768</c:v>
                </c:pt>
                <c:pt idx="154">
                  <c:v>-816.08674772542099</c:v>
                </c:pt>
                <c:pt idx="155">
                  <c:v>-814.16705983948452</c:v>
                </c:pt>
                <c:pt idx="156">
                  <c:v>-812.20282397510346</c:v>
                </c:pt>
                <c:pt idx="157">
                  <c:v>-810.19247126868925</c:v>
                </c:pt>
                <c:pt idx="158">
                  <c:v>-808.13435831320032</c:v>
                </c:pt>
                <c:pt idx="159">
                  <c:v>-806.02676267757056</c:v>
                </c:pt>
                <c:pt idx="160">
                  <c:v>-803.86787809902808</c:v>
                </c:pt>
                <c:pt idx="161">
                  <c:v>-801.65580932010153</c:v>
                </c:pt>
                <c:pt idx="162">
                  <c:v>-799.38856653929872</c:v>
                </c:pt>
                <c:pt idx="163">
                  <c:v>-797.06405944130086</c:v>
                </c:pt>
                <c:pt idx="164">
                  <c:v>-794.68009076902899</c:v>
                </c:pt>
                <c:pt idx="165">
                  <c:v>-792.23434939603624</c:v>
                </c:pt>
                <c:pt idx="166">
                  <c:v>-789.72440285331015</c:v>
                </c:pt>
                <c:pt idx="167">
                  <c:v>-787.14768925969372</c:v>
                </c:pt>
                <c:pt idx="168">
                  <c:v>-784.50150859964913</c:v>
                </c:pt>
                <c:pt idx="169">
                  <c:v>-781.78301328593955</c:v>
                </c:pt>
                <c:pt idx="170">
                  <c:v>-778.98919793788411</c:v>
                </c:pt>
                <c:pt idx="171">
                  <c:v>-776.11688829805166</c:v>
                </c:pt>
                <c:pt idx="172">
                  <c:v>-773.16272920146423</c:v>
                </c:pt>
                <c:pt idx="173">
                  <c:v>-770.12317150144213</c:v>
                </c:pt>
                <c:pt idx="174">
                  <c:v>-766.99445784498278</c:v>
                </c:pt>
                <c:pt idx="175">
                  <c:v>-763.77260717780189</c:v>
                </c:pt>
                <c:pt idx="176">
                  <c:v>-760.45339784468479</c:v>
                </c:pt>
                <c:pt idx="177">
                  <c:v>-757.03234913430174</c:v>
                </c:pt>
                <c:pt idx="178">
                  <c:v>-749.50127128131294</c:v>
                </c:pt>
                <c:pt idx="179">
                  <c:v>-723.92434906406129</c:v>
                </c:pt>
                <c:pt idx="180">
                  <c:v>-698.23037939794608</c:v>
                </c:pt>
                <c:pt idx="181">
                  <c:v>-672.41362327367142</c:v>
                </c:pt>
                <c:pt idx="182">
                  <c:v>-646.46796025855303</c:v>
                </c:pt>
                <c:pt idx="183">
                  <c:v>-620.38685627364339</c:v>
                </c:pt>
                <c:pt idx="184">
                  <c:v>-594.16332804806257</c:v>
                </c:pt>
                <c:pt idx="185">
                  <c:v>-567.78990384379517</c:v>
                </c:pt>
                <c:pt idx="186">
                  <c:v>-541.25857998630499</c:v>
                </c:pt>
                <c:pt idx="187">
                  <c:v>-514.56077266893851</c:v>
                </c:pt>
                <c:pt idx="188">
                  <c:v>-487.68726442057635</c:v>
                </c:pt>
                <c:pt idx="189">
                  <c:v>-460.62814453410755</c:v>
                </c:pt>
                <c:pt idx="190">
                  <c:v>-433.37274264566565</c:v>
                </c:pt>
                <c:pt idx="191">
                  <c:v>-405.90955452792946</c:v>
                </c:pt>
                <c:pt idx="192">
                  <c:v>-378.22615901147157</c:v>
                </c:pt>
                <c:pt idx="193">
                  <c:v>-350.3091247715206</c:v>
                </c:pt>
                <c:pt idx="194">
                  <c:v>-322.14390550784447</c:v>
                </c:pt>
                <c:pt idx="195">
                  <c:v>-293.71472179585658</c:v>
                </c:pt>
                <c:pt idx="196">
                  <c:v>-265.00442758879518</c:v>
                </c:pt>
                <c:pt idx="197">
                  <c:v>-235.99435899313468</c:v>
                </c:pt>
                <c:pt idx="198">
                  <c:v>-206.66416250889418</c:v>
                </c:pt>
                <c:pt idx="199">
                  <c:v>-176.99159940625017</c:v>
                </c:pt>
                <c:pt idx="200">
                  <c:v>-146.95232227862573</c:v>
                </c:pt>
                <c:pt idx="201">
                  <c:v>-116.51961904326593</c:v>
                </c:pt>
                <c:pt idx="202">
                  <c:v>-85.664118718856301</c:v>
                </c:pt>
                <c:pt idx="203">
                  <c:v>-54.353452152076116</c:v>
                </c:pt>
                <c:pt idx="204">
                  <c:v>-22.551859434456041</c:v>
                </c:pt>
                <c:pt idx="205">
                  <c:v>9.7802660258545071</c:v>
                </c:pt>
                <c:pt idx="206">
                  <c:v>42.686909031473739</c:v>
                </c:pt>
                <c:pt idx="207">
                  <c:v>76.217054762580602</c:v>
                </c:pt>
                <c:pt idx="208">
                  <c:v>110.42542014308012</c:v>
                </c:pt>
                <c:pt idx="209">
                  <c:v>145.37331744038426</c:v>
                </c:pt>
                <c:pt idx="210">
                  <c:v>181.12967885847604</c:v>
                </c:pt>
                <c:pt idx="211">
                  <c:v>217.7722782617063</c:v>
                </c:pt>
                <c:pt idx="212">
                  <c:v>255.38919574430369</c:v>
                </c:pt>
                <c:pt idx="213">
                  <c:v>294.08058329158411</c:v>
                </c:pt>
                <c:pt idx="214">
                  <c:v>333.96080631122032</c:v>
                </c:pt>
                <c:pt idx="215">
                  <c:v>375.16105781855475</c:v>
                </c:pt>
                <c:pt idx="216">
                  <c:v>417.8325716290089</c:v>
                </c:pt>
                <c:pt idx="217">
                  <c:v>462.15060104633744</c:v>
                </c:pt>
                <c:pt idx="218">
                  <c:v>508.31938460676753</c:v>
                </c:pt>
                <c:pt idx="219">
                  <c:v>556.57839688792171</c:v>
                </c:pt>
                <c:pt idx="220">
                  <c:v>607.21028985370367</c:v>
                </c:pt>
                <c:pt idx="221">
                  <c:v>660.55108332134228</c:v>
                </c:pt>
                <c:pt idx="222">
                  <c:v>717.0033845213884</c:v>
                </c:pt>
                <c:pt idx="223">
                  <c:v>769.31279279279363</c:v>
                </c:pt>
                <c:pt idx="224">
                  <c:v>811.61716225390421</c:v>
                </c:pt>
                <c:pt idx="225">
                  <c:v>858.8448850574722</c:v>
                </c:pt>
                <c:pt idx="226">
                  <c:v>911.90852784134358</c:v>
                </c:pt>
                <c:pt idx="227">
                  <c:v>971.96104065040777</c:v>
                </c:pt>
                <c:pt idx="228">
                  <c:v>1040.4804873803323</c:v>
                </c:pt>
                <c:pt idx="229">
                  <c:v>1119.3933333333352</c:v>
                </c:pt>
                <c:pt idx="230">
                  <c:v>1211.2584397163141</c:v>
                </c:pt>
                <c:pt idx="231">
                  <c:v>1319.5497571743961</c:v>
                </c:pt>
                <c:pt idx="232">
                  <c:v>1449.1055515151552</c:v>
                </c:pt>
                <c:pt idx="233">
                  <c:v>1606.8710752688223</c:v>
                </c:pt>
                <c:pt idx="234">
                  <c:v>1803.1856410256476</c:v>
                </c:pt>
                <c:pt idx="235">
                  <c:v>2190.8815389075603</c:v>
                </c:pt>
                <c:pt idx="236">
                  <c:v>2700.4839653530776</c:v>
                </c:pt>
                <c:pt idx="237">
                  <c:v>3338.1848791126281</c:v>
                </c:pt>
                <c:pt idx="238">
                  <c:v>3338.1848791126281</c:v>
                </c:pt>
                <c:pt idx="239">
                  <c:v>3448.199803129346</c:v>
                </c:pt>
                <c:pt idx="240">
                  <c:v>3563.2886261359631</c:v>
                </c:pt>
                <c:pt idx="241">
                  <c:v>3791.2322365769628</c:v>
                </c:pt>
                <c:pt idx="242">
                  <c:v>3960.2396842744661</c:v>
                </c:pt>
                <c:pt idx="243">
                  <c:v>4110.5174134534527</c:v>
                </c:pt>
                <c:pt idx="244">
                  <c:v>4243.4032611509565</c:v>
                </c:pt>
                <c:pt idx="245">
                  <c:v>4360.235064404018</c:v>
                </c:pt>
                <c:pt idx="246">
                  <c:v>4462.35066024967</c:v>
                </c:pt>
                <c:pt idx="247">
                  <c:v>4551.0878857249527</c:v>
                </c:pt>
                <c:pt idx="248">
                  <c:v>4627.7845778669007</c:v>
                </c:pt>
                <c:pt idx="249">
                  <c:v>4693.7785737125541</c:v>
                </c:pt>
                <c:pt idx="250">
                  <c:v>4750.4077102989468</c:v>
                </c:pt>
                <c:pt idx="251">
                  <c:v>4799.0098246631196</c:v>
                </c:pt>
                <c:pt idx="252">
                  <c:v>4840.9227538421055</c:v>
                </c:pt>
                <c:pt idx="253">
                  <c:v>4877.4843348729446</c:v>
                </c:pt>
                <c:pt idx="254">
                  <c:v>4910.0324047926706</c:v>
                </c:pt>
                <c:pt idx="255">
                  <c:v>4934.0321187190348</c:v>
                </c:pt>
                <c:pt idx="256">
                  <c:v>4934.2550915585416</c:v>
                </c:pt>
              </c:numCache>
            </c:numRef>
          </c:xVal>
          <c:yVal>
            <c:numRef>
              <c:f>'caldom y'!$X$21:$X$277</c:f>
              <c:numCache>
                <c:formatCode>0</c:formatCod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1.4600848786383868E-3</c:v>
                </c:pt>
                <c:pt idx="103">
                  <c:v>1.1455566796943545E-2</c:v>
                </c:pt>
                <c:pt idx="104">
                  <c:v>3.7906000005438922E-2</c:v>
                </c:pt>
                <c:pt idx="105">
                  <c:v>8.806556305067241E-2</c:v>
                </c:pt>
                <c:pt idx="106">
                  <c:v>0.16853008233761788</c:v>
                </c:pt>
                <c:pt idx="107">
                  <c:v>0.28524397506211696</c:v>
                </c:pt>
                <c:pt idx="108">
                  <c:v>0.44350711253263059</c:v>
                </c:pt>
                <c:pt idx="109">
                  <c:v>0.6479816048871726</c:v>
                </c:pt>
                <c:pt idx="110">
                  <c:v>0.90269850819702446</c:v>
                </c:pt>
                <c:pt idx="111">
                  <c:v>1.2110644549345524</c:v>
                </c:pt>
                <c:pt idx="112">
                  <c:v>1.5758682087701708</c:v>
                </c:pt>
                <c:pt idx="113">
                  <c:v>1.9992871446485072</c:v>
                </c:pt>
                <c:pt idx="114">
                  <c:v>2.4828936550822704</c:v>
                </c:pt>
                <c:pt idx="115">
                  <c:v>3.0276614835881293</c:v>
                </c:pt>
                <c:pt idx="116">
                  <c:v>3.6339719861767592</c:v>
                </c:pt>
                <c:pt idx="117">
                  <c:v>4.3016203217967899</c:v>
                </c:pt>
                <c:pt idx="118">
                  <c:v>5.0298215726196469</c:v>
                </c:pt>
                <c:pt idx="119">
                  <c:v>5.8172167950399514</c:v>
                </c:pt>
                <c:pt idx="120">
                  <c:v>6.6618790022552163</c:v>
                </c:pt>
                <c:pt idx="121">
                  <c:v>7.561319079274714</c:v>
                </c:pt>
                <c:pt idx="122">
                  <c:v>8.5129965110616084</c:v>
                </c:pt>
                <c:pt idx="123">
                  <c:v>9.5160233733514854</c:v>
                </c:pt>
                <c:pt idx="124">
                  <c:v>10.569974082017898</c:v>
                </c:pt>
                <c:pt idx="125">
                  <c:v>11.674426659089104</c:v>
                </c:pt>
                <c:pt idx="126">
                  <c:v>12.828962698639453</c:v>
                </c:pt>
                <c:pt idx="127">
                  <c:v>14.033167333043858</c:v>
                </c:pt>
                <c:pt idx="128">
                  <c:v>15.286629199590832</c:v>
                </c:pt>
                <c:pt idx="129">
                  <c:v>16.588940407451361</c:v>
                </c:pt>
                <c:pt idx="130">
                  <c:v>17.939696504996284</c:v>
                </c:pt>
                <c:pt idx="131">
                  <c:v>19.338496447462411</c:v>
                </c:pt>
                <c:pt idx="132">
                  <c:v>20.784942564958541</c:v>
                </c:pt>
                <c:pt idx="133">
                  <c:v>22.27864053081198</c:v>
                </c:pt>
                <c:pt idx="134">
                  <c:v>23.819199330246686</c:v>
                </c:pt>
                <c:pt idx="135">
                  <c:v>25.406231229393839</c:v>
                </c:pt>
                <c:pt idx="136">
                  <c:v>27.039351744627432</c:v>
                </c:pt>
                <c:pt idx="137">
                  <c:v>27.039351744627371</c:v>
                </c:pt>
                <c:pt idx="138">
                  <c:v>27.288957367009328</c:v>
                </c:pt>
                <c:pt idx="139">
                  <c:v>27.54320674538037</c:v>
                </c:pt>
                <c:pt idx="140">
                  <c:v>27.802230454387754</c:v>
                </c:pt>
                <c:pt idx="141">
                  <c:v>28.066164000580191</c:v>
                </c:pt>
                <c:pt idx="142">
                  <c:v>28.335148056958445</c:v>
                </c:pt>
                <c:pt idx="143">
                  <c:v>28.609328711006551</c:v>
                </c:pt>
                <c:pt idx="144">
                  <c:v>28.88885772711356</c:v>
                </c:pt>
                <c:pt idx="145">
                  <c:v>29.173892824366661</c:v>
                </c:pt>
                <c:pt idx="146">
                  <c:v>29.464597970773472</c:v>
                </c:pt>
                <c:pt idx="147">
                  <c:v>29.761143695054635</c:v>
                </c:pt>
                <c:pt idx="148">
                  <c:v>30.063707417239279</c:v>
                </c:pt>
                <c:pt idx="149">
                  <c:v>30.372473799395546</c:v>
                </c:pt>
                <c:pt idx="150">
                  <c:v>30.68763511793658</c:v>
                </c:pt>
                <c:pt idx="151">
                  <c:v>31.00939165906118</c:v>
                </c:pt>
                <c:pt idx="152">
                  <c:v>31.337952139017567</c:v>
                </c:pt>
                <c:pt idx="153">
                  <c:v>31.673534151021109</c:v>
                </c:pt>
                <c:pt idx="154">
                  <c:v>32.016364640811297</c:v>
                </c:pt>
                <c:pt idx="155">
                  <c:v>32.366680413004147</c:v>
                </c:pt>
                <c:pt idx="156">
                  <c:v>32.724728670582095</c:v>
                </c:pt>
                <c:pt idx="157">
                  <c:v>33.090767590069277</c:v>
                </c:pt>
                <c:pt idx="158">
                  <c:v>33.46506693516411</c:v>
                </c:pt>
                <c:pt idx="159">
                  <c:v>33.847908711849961</c:v>
                </c:pt>
                <c:pt idx="160">
                  <c:v>34.23958786827648</c:v>
                </c:pt>
                <c:pt idx="161">
                  <c:v>34.640413043005275</c:v>
                </c:pt>
                <c:pt idx="162">
                  <c:v>35.050707365544966</c:v>
                </c:pt>
                <c:pt idx="163">
                  <c:v>35.470809313466788</c:v>
                </c:pt>
                <c:pt idx="164">
                  <c:v>35.901073630796908</c:v>
                </c:pt>
                <c:pt idx="165">
                  <c:v>36.341872312829153</c:v>
                </c:pt>
                <c:pt idx="166">
                  <c:v>36.793595662998456</c:v>
                </c:pt>
                <c:pt idx="167">
                  <c:v>37.25665342800518</c:v>
                </c:pt>
                <c:pt idx="168">
                  <c:v>37.731476017991625</c:v>
                </c:pt>
                <c:pt idx="169">
                  <c:v>38.21851581925069</c:v>
                </c:pt>
                <c:pt idx="170">
                  <c:v>38.718248607702293</c:v>
                </c:pt>
                <c:pt idx="171">
                  <c:v>39.231175072214533</c:v>
                </c:pt>
                <c:pt idx="172">
                  <c:v>39.757822457784776</c:v>
                </c:pt>
                <c:pt idx="173">
                  <c:v>40.298746339644175</c:v>
                </c:pt>
                <c:pt idx="174">
                  <c:v>40.854532540520118</c:v>
                </c:pt>
                <c:pt idx="175">
                  <c:v>41.425799204602022</c:v>
                </c:pt>
                <c:pt idx="176">
                  <c:v>42.013199043225697</c:v>
                </c:pt>
                <c:pt idx="177">
                  <c:v>42.617421768939366</c:v>
                </c:pt>
                <c:pt idx="178">
                  <c:v>43.951807243986664</c:v>
                </c:pt>
                <c:pt idx="179">
                  <c:v>48.496801535168295</c:v>
                </c:pt>
                <c:pt idx="180">
                  <c:v>53.060937428413389</c:v>
                </c:pt>
                <c:pt idx="181">
                  <c:v>57.645081443078226</c:v>
                </c:pt>
                <c:pt idx="182">
                  <c:v>62.250152822525813</c:v>
                </c:pt>
                <c:pt idx="183">
                  <c:v>66.877127570235587</c:v>
                </c:pt>
                <c:pt idx="184">
                  <c:v>71.527042858263727</c:v>
                </c:pt>
                <c:pt idx="185">
                  <c:v>76.201001848172098</c:v>
                </c:pt>
                <c:pt idx="186">
                  <c:v>80.900178969462843</c:v>
                </c:pt>
                <c:pt idx="187">
                  <c:v>85.625825706151133</c:v>
                </c:pt>
                <c:pt idx="188">
                  <c:v>90.37927694846546</c:v>
                </c:pt>
                <c:pt idx="189">
                  <c:v>95.161957973918376</c:v>
                </c:pt>
                <c:pt idx="190">
                  <c:v>99.975392130246846</c:v>
                </c:pt>
                <c:pt idx="191">
                  <c:v>104.82120930215901</c:v>
                </c:pt>
                <c:pt idx="192">
                  <c:v>109.70115525459994</c:v>
                </c:pt>
                <c:pt idx="193">
                  <c:v>114.61710195756808</c:v>
                </c:pt>
                <c:pt idx="194">
                  <c:v>119.57105901161594</c:v>
                </c:pt>
                <c:pt idx="195">
                  <c:v>124.5651863093024</c:v>
                </c:pt>
                <c:pt idx="196">
                  <c:v>129.60180808633507</c:v>
                </c:pt>
                <c:pt idx="197">
                  <c:v>134.68342853728606</c:v>
                </c:pt>
                <c:pt idx="198">
                  <c:v>139.81274919494248</c:v>
                </c:pt>
                <c:pt idx="199">
                  <c:v>144.9926882999809</c:v>
                </c:pt>
                <c:pt idx="200">
                  <c:v>150.22640241915613</c:v>
                </c:pt>
                <c:pt idx="201">
                  <c:v>155.51731060600289</c:v>
                </c:pt>
                <c:pt idx="202">
                  <c:v>160.8691214385926</c:v>
                </c:pt>
                <c:pt idx="203">
                  <c:v>166.28586331450077</c:v>
                </c:pt>
                <c:pt idx="204">
                  <c:v>171.77191843401886</c:v>
                </c:pt>
                <c:pt idx="205">
                  <c:v>177.33206095868999</c:v>
                </c:pt>
                <c:pt idx="206">
                  <c:v>182.9714998928529</c:v>
                </c:pt>
                <c:pt idx="207">
                  <c:v>188.69592729960155</c:v>
                </c:pt>
                <c:pt idx="208">
                  <c:v>194.51157252659314</c:v>
                </c:pt>
                <c:pt idx="209">
                  <c:v>200.4252631764372</c:v>
                </c:pt>
                <c:pt idx="210">
                  <c:v>206.44449360243351</c:v>
                </c:pt>
                <c:pt idx="211">
                  <c:v>212.57750172906208</c:v>
                </c:pt>
                <c:pt idx="212">
                  <c:v>218.8333549648658</c:v>
                </c:pt>
                <c:pt idx="213">
                  <c:v>225.22204585609956</c:v>
                </c:pt>
                <c:pt idx="214">
                  <c:v>231.75459786316728</c:v>
                </c:pt>
                <c:pt idx="215">
                  <c:v>238.44318113274133</c:v>
                </c:pt>
                <c:pt idx="216">
                  <c:v>245.30123723255301</c:v>
                </c:pt>
                <c:pt idx="217">
                  <c:v>252.34361026406103</c:v>
                </c:pt>
                <c:pt idx="218">
                  <c:v>259.58667916476986</c:v>
                </c:pt>
                <c:pt idx="219">
                  <c:v>267.04848168996551</c:v>
                </c:pt>
                <c:pt idx="220">
                  <c:v>274.7488134148968</c:v>
                </c:pt>
                <c:pt idx="221">
                  <c:v>282.70927325807992</c:v>
                </c:pt>
                <c:pt idx="222">
                  <c:v>290.9532073098008</c:v>
                </c:pt>
                <c:pt idx="223">
                  <c:v>298.12758067566011</c:v>
                </c:pt>
                <c:pt idx="224">
                  <c:v>303.10907817976187</c:v>
                </c:pt>
                <c:pt idx="225">
                  <c:v>308.45034090403999</c:v>
                </c:pt>
                <c:pt idx="226">
                  <c:v>314.17475984625167</c:v>
                </c:pt>
                <c:pt idx="227">
                  <c:v>320.29973248104181</c:v>
                </c:pt>
                <c:pt idx="228">
                  <c:v>326.82996370708804</c:v>
                </c:pt>
                <c:pt idx="229">
                  <c:v>333.74547296408758</c:v>
                </c:pt>
                <c:pt idx="230">
                  <c:v>340.9798706230153</c:v>
                </c:pt>
                <c:pt idx="231">
                  <c:v>348.38020580036664</c:v>
                </c:pt>
                <c:pt idx="232">
                  <c:v>355.63060631681481</c:v>
                </c:pt>
                <c:pt idx="233">
                  <c:v>362.10150745940484</c:v>
                </c:pt>
                <c:pt idx="234">
                  <c:v>366.53729092440756</c:v>
                </c:pt>
                <c:pt idx="235">
                  <c:v>342.02903211892669</c:v>
                </c:pt>
                <c:pt idx="236">
                  <c:v>300.13720899481888</c:v>
                </c:pt>
                <c:pt idx="237">
                  <c:v>235.30408638680214</c:v>
                </c:pt>
                <c:pt idx="238">
                  <c:v>235.30408638680214</c:v>
                </c:pt>
                <c:pt idx="239">
                  <c:v>222.20771251686827</c:v>
                </c:pt>
                <c:pt idx="240">
                  <c:v>207.804392057341</c:v>
                </c:pt>
                <c:pt idx="241">
                  <c:v>177.01189675814877</c:v>
                </c:pt>
                <c:pt idx="242">
                  <c:v>144.88059739039181</c:v>
                </c:pt>
                <c:pt idx="243">
                  <c:v>118.21276965579145</c:v>
                </c:pt>
                <c:pt idx="244">
                  <c:v>96.221000898263654</c:v>
                </c:pt>
                <c:pt idx="245">
                  <c:v>78.179036726273637</c:v>
                </c:pt>
                <c:pt idx="246">
                  <c:v>63.421781012837208</c:v>
                </c:pt>
                <c:pt idx="247">
                  <c:v>51.345295895520898</c:v>
                </c:pt>
                <c:pt idx="248">
                  <c:v>41.406801776441043</c:v>
                </c:pt>
                <c:pt idx="249">
                  <c:v>33.124677322263977</c:v>
                </c:pt>
                <c:pt idx="250">
                  <c:v>26.078459464207015</c:v>
                </c:pt>
                <c:pt idx="251">
                  <c:v>19.908843398036943</c:v>
                </c:pt>
                <c:pt idx="252">
                  <c:v>14.317682584071845</c:v>
                </c:pt>
                <c:pt idx="253">
                  <c:v>9.0679887471787186</c:v>
                </c:pt>
                <c:pt idx="254">
                  <c:v>3.9839318767760097</c:v>
                </c:pt>
                <c:pt idx="255">
                  <c:v>-3.8223915351629258E-3</c:v>
                </c:pt>
                <c:pt idx="256">
                  <c:v>-6.7055225372314457E-13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'caldom y'!$W$21:$W$277</c:f>
              <c:numCache>
                <c:formatCode>0</c:formatCode>
                <c:ptCount val="257"/>
                <c:pt idx="0">
                  <c:v>-983.45509155854404</c:v>
                </c:pt>
                <c:pt idx="1">
                  <c:v>-983.45509155854404</c:v>
                </c:pt>
                <c:pt idx="2">
                  <c:v>-983.45509155854404</c:v>
                </c:pt>
                <c:pt idx="3">
                  <c:v>-983.45509155854404</c:v>
                </c:pt>
                <c:pt idx="4">
                  <c:v>-983.45509155854404</c:v>
                </c:pt>
                <c:pt idx="5">
                  <c:v>-983.45509155854404</c:v>
                </c:pt>
                <c:pt idx="6">
                  <c:v>-983.45509155854404</c:v>
                </c:pt>
                <c:pt idx="7">
                  <c:v>-983.45509155854404</c:v>
                </c:pt>
                <c:pt idx="8">
                  <c:v>-983.45509155854404</c:v>
                </c:pt>
                <c:pt idx="9">
                  <c:v>-983.45509155854404</c:v>
                </c:pt>
                <c:pt idx="10">
                  <c:v>-983.45509155854404</c:v>
                </c:pt>
                <c:pt idx="11">
                  <c:v>-983.45509155854404</c:v>
                </c:pt>
                <c:pt idx="12">
                  <c:v>-983.45509155854404</c:v>
                </c:pt>
                <c:pt idx="13">
                  <c:v>-983.45509155854404</c:v>
                </c:pt>
                <c:pt idx="14">
                  <c:v>-983.45509155854404</c:v>
                </c:pt>
                <c:pt idx="15">
                  <c:v>-983.45509155854404</c:v>
                </c:pt>
                <c:pt idx="16">
                  <c:v>-983.45509155854404</c:v>
                </c:pt>
                <c:pt idx="17">
                  <c:v>-983.45509155854404</c:v>
                </c:pt>
                <c:pt idx="18">
                  <c:v>-983.45509155854404</c:v>
                </c:pt>
                <c:pt idx="19">
                  <c:v>-983.45509155854404</c:v>
                </c:pt>
                <c:pt idx="20">
                  <c:v>-983.45509155854404</c:v>
                </c:pt>
                <c:pt idx="21">
                  <c:v>-983.45509155854404</c:v>
                </c:pt>
                <c:pt idx="22">
                  <c:v>-983.45509155854404</c:v>
                </c:pt>
                <c:pt idx="23">
                  <c:v>-983.45509155854404</c:v>
                </c:pt>
                <c:pt idx="24">
                  <c:v>-983.45509155854404</c:v>
                </c:pt>
                <c:pt idx="25">
                  <c:v>-983.45509155854404</c:v>
                </c:pt>
                <c:pt idx="26">
                  <c:v>-983.45509155854404</c:v>
                </c:pt>
                <c:pt idx="27">
                  <c:v>-983.45509155854404</c:v>
                </c:pt>
                <c:pt idx="28">
                  <c:v>-983.45509155854404</c:v>
                </c:pt>
                <c:pt idx="29">
                  <c:v>-983.45509155854404</c:v>
                </c:pt>
                <c:pt idx="30">
                  <c:v>-983.45509155854404</c:v>
                </c:pt>
                <c:pt idx="31">
                  <c:v>-983.45509155854404</c:v>
                </c:pt>
                <c:pt idx="32">
                  <c:v>-983.45509155854404</c:v>
                </c:pt>
                <c:pt idx="33">
                  <c:v>-983.45509155854404</c:v>
                </c:pt>
                <c:pt idx="34">
                  <c:v>-983.45509155854404</c:v>
                </c:pt>
                <c:pt idx="35">
                  <c:v>-983.45509155854404</c:v>
                </c:pt>
                <c:pt idx="36">
                  <c:v>-983.45509155854404</c:v>
                </c:pt>
                <c:pt idx="37">
                  <c:v>-983.45509155854404</c:v>
                </c:pt>
                <c:pt idx="38">
                  <c:v>-983.45509155854404</c:v>
                </c:pt>
                <c:pt idx="39">
                  <c:v>-983.45509155854404</c:v>
                </c:pt>
                <c:pt idx="40">
                  <c:v>-983.45509155854404</c:v>
                </c:pt>
                <c:pt idx="41">
                  <c:v>-983.45509155854404</c:v>
                </c:pt>
                <c:pt idx="42">
                  <c:v>-983.45509155854404</c:v>
                </c:pt>
                <c:pt idx="43">
                  <c:v>-983.45509155854404</c:v>
                </c:pt>
                <c:pt idx="44">
                  <c:v>-983.45509155854404</c:v>
                </c:pt>
                <c:pt idx="45">
                  <c:v>-983.45509155854404</c:v>
                </c:pt>
                <c:pt idx="46">
                  <c:v>-983.45509155854404</c:v>
                </c:pt>
                <c:pt idx="47">
                  <c:v>-983.45509155854404</c:v>
                </c:pt>
                <c:pt idx="48">
                  <c:v>-983.45509155854404</c:v>
                </c:pt>
                <c:pt idx="49">
                  <c:v>-983.45509155854404</c:v>
                </c:pt>
                <c:pt idx="50">
                  <c:v>-983.45509155854404</c:v>
                </c:pt>
                <c:pt idx="51">
                  <c:v>-983.45509155854404</c:v>
                </c:pt>
                <c:pt idx="52">
                  <c:v>-983.45509155854404</c:v>
                </c:pt>
                <c:pt idx="53">
                  <c:v>-983.45509155854404</c:v>
                </c:pt>
                <c:pt idx="54">
                  <c:v>-983.45509155854404</c:v>
                </c:pt>
                <c:pt idx="55">
                  <c:v>-983.45509155854404</c:v>
                </c:pt>
                <c:pt idx="56">
                  <c:v>-983.45509155854404</c:v>
                </c:pt>
                <c:pt idx="57">
                  <c:v>-983.45509155854404</c:v>
                </c:pt>
                <c:pt idx="58">
                  <c:v>-983.45509155854404</c:v>
                </c:pt>
                <c:pt idx="59">
                  <c:v>-983.45509155854404</c:v>
                </c:pt>
                <c:pt idx="60">
                  <c:v>-983.45509155854404</c:v>
                </c:pt>
                <c:pt idx="61">
                  <c:v>-983.45509155854404</c:v>
                </c:pt>
                <c:pt idx="62">
                  <c:v>-983.45509155854404</c:v>
                </c:pt>
                <c:pt idx="63">
                  <c:v>-983.45509155854404</c:v>
                </c:pt>
                <c:pt idx="64">
                  <c:v>-983.45509155854404</c:v>
                </c:pt>
                <c:pt idx="65">
                  <c:v>-983.45509155854404</c:v>
                </c:pt>
                <c:pt idx="66">
                  <c:v>-983.45509155854404</c:v>
                </c:pt>
                <c:pt idx="67">
                  <c:v>-983.45509155854404</c:v>
                </c:pt>
                <c:pt idx="68">
                  <c:v>-983.45509155854404</c:v>
                </c:pt>
                <c:pt idx="69">
                  <c:v>-983.45509155854404</c:v>
                </c:pt>
                <c:pt idx="70">
                  <c:v>-983.45509155854404</c:v>
                </c:pt>
                <c:pt idx="71">
                  <c:v>-983.45509155854404</c:v>
                </c:pt>
                <c:pt idx="72">
                  <c:v>-983.45509155854404</c:v>
                </c:pt>
                <c:pt idx="73">
                  <c:v>-983.45509155854404</c:v>
                </c:pt>
                <c:pt idx="74">
                  <c:v>-983.45509155854404</c:v>
                </c:pt>
                <c:pt idx="75">
                  <c:v>-983.45509155854404</c:v>
                </c:pt>
                <c:pt idx="76">
                  <c:v>-983.45509155854404</c:v>
                </c:pt>
                <c:pt idx="77">
                  <c:v>-983.45509155854404</c:v>
                </c:pt>
                <c:pt idx="78">
                  <c:v>-983.45509155854404</c:v>
                </c:pt>
                <c:pt idx="79">
                  <c:v>-983.45509155854404</c:v>
                </c:pt>
                <c:pt idx="80">
                  <c:v>-983.45509155854404</c:v>
                </c:pt>
                <c:pt idx="81">
                  <c:v>-983.45509155854404</c:v>
                </c:pt>
                <c:pt idx="82">
                  <c:v>-983.45509155854404</c:v>
                </c:pt>
                <c:pt idx="83">
                  <c:v>-983.45509155854404</c:v>
                </c:pt>
                <c:pt idx="84">
                  <c:v>-983.45509155854404</c:v>
                </c:pt>
                <c:pt idx="85">
                  <c:v>-983.45509155854404</c:v>
                </c:pt>
                <c:pt idx="86">
                  <c:v>-983.45509155854404</c:v>
                </c:pt>
                <c:pt idx="87">
                  <c:v>-983.45509155854404</c:v>
                </c:pt>
                <c:pt idx="88">
                  <c:v>-983.45509155854404</c:v>
                </c:pt>
                <c:pt idx="89">
                  <c:v>-983.45509155854404</c:v>
                </c:pt>
                <c:pt idx="90">
                  <c:v>-983.45509155854404</c:v>
                </c:pt>
                <c:pt idx="91">
                  <c:v>-983.45509155854404</c:v>
                </c:pt>
                <c:pt idx="92">
                  <c:v>-983.45509155854404</c:v>
                </c:pt>
                <c:pt idx="93">
                  <c:v>-983.45509155854404</c:v>
                </c:pt>
                <c:pt idx="94">
                  <c:v>-983.45509155854404</c:v>
                </c:pt>
                <c:pt idx="95">
                  <c:v>-983.45509155854404</c:v>
                </c:pt>
                <c:pt idx="96">
                  <c:v>-983.45509155854404</c:v>
                </c:pt>
                <c:pt idx="97">
                  <c:v>-983.45509155854404</c:v>
                </c:pt>
                <c:pt idx="98">
                  <c:v>-983.45509155854404</c:v>
                </c:pt>
                <c:pt idx="99">
                  <c:v>-983.45509155854404</c:v>
                </c:pt>
                <c:pt idx="100">
                  <c:v>-983.45509155854404</c:v>
                </c:pt>
                <c:pt idx="101">
                  <c:v>-983.45509155854404</c:v>
                </c:pt>
                <c:pt idx="102">
                  <c:v>-983.44778469365258</c:v>
                </c:pt>
                <c:pt idx="103">
                  <c:v>-983.39771228134077</c:v>
                </c:pt>
                <c:pt idx="104">
                  <c:v>-983.26505608066805</c:v>
                </c:pt>
                <c:pt idx="105">
                  <c:v>-983.01319157228977</c:v>
                </c:pt>
                <c:pt idx="106">
                  <c:v>-982.60866447521073</c:v>
                </c:pt>
                <c:pt idx="107">
                  <c:v>-982.0211674704384</c:v>
                </c:pt>
                <c:pt idx="108">
                  <c:v>-981.22351712941406</c:v>
                </c:pt>
                <c:pt idx="109">
                  <c:v>-980.19163104512302</c:v>
                </c:pt>
                <c:pt idx="110">
                  <c:v>-978.90450516380724</c:v>
                </c:pt>
                <c:pt idx="111">
                  <c:v>-977.34419131523509</c:v>
                </c:pt>
                <c:pt idx="112">
                  <c:v>-975.49577493949641</c:v>
                </c:pt>
                <c:pt idx="113">
                  <c:v>-973.34735300832563</c:v>
                </c:pt>
                <c:pt idx="114">
                  <c:v>-970.89001213897052</c:v>
                </c:pt>
                <c:pt idx="115">
                  <c:v>-968.11780689865043</c:v>
                </c:pt>
                <c:pt idx="116">
                  <c:v>-965.02773829767443</c:v>
                </c:pt>
                <c:pt idx="117">
                  <c:v>-961.61973246930143</c:v>
                </c:pt>
                <c:pt idx="118">
                  <c:v>-957.89661953445921</c:v>
                </c:pt>
                <c:pt idx="119">
                  <c:v>-953.86411264945332</c:v>
                </c:pt>
                <c:pt idx="120">
                  <c:v>-949.5307872348169</c:v>
                </c:pt>
                <c:pt idx="121">
                  <c:v>-944.9080603834841</c:v>
                </c:pt>
                <c:pt idx="122">
                  <c:v>-940.0076444321071</c:v>
                </c:pt>
                <c:pt idx="123">
                  <c:v>-934.83301676179633</c:v>
                </c:pt>
                <c:pt idx="124">
                  <c:v>-929.38535593294728</c:v>
                </c:pt>
                <c:pt idx="125">
                  <c:v>-923.66583376169149</c:v>
                </c:pt>
                <c:pt idx="126">
                  <c:v>-917.67561536806784</c:v>
                </c:pt>
                <c:pt idx="127">
                  <c:v>-911.41585922378397</c:v>
                </c:pt>
                <c:pt idx="128">
                  <c:v>-904.88771719957026</c:v>
                </c:pt>
                <c:pt idx="129">
                  <c:v>-898.09233461212386</c:v>
                </c:pt>
                <c:pt idx="130">
                  <c:v>-891.03085027066561</c:v>
                </c:pt>
                <c:pt idx="131">
                  <c:v>-883.70439652308312</c:v>
                </c:pt>
                <c:pt idx="132">
                  <c:v>-876.11409930169862</c:v>
                </c:pt>
                <c:pt idx="133">
                  <c:v>-868.26107816863396</c:v>
                </c:pt>
                <c:pt idx="134">
                  <c:v>-860.14644636080413</c:v>
                </c:pt>
                <c:pt idx="135">
                  <c:v>-851.7713108345198</c:v>
                </c:pt>
                <c:pt idx="136">
                  <c:v>-843.13677230971746</c:v>
                </c:pt>
                <c:pt idx="137">
                  <c:v>-843.13677230971791</c:v>
                </c:pt>
                <c:pt idx="138">
                  <c:v>-841.78995587896134</c:v>
                </c:pt>
                <c:pt idx="139">
                  <c:v>-840.41703460712051</c:v>
                </c:pt>
                <c:pt idx="140">
                  <c:v>-839.01724209617873</c:v>
                </c:pt>
                <c:pt idx="141">
                  <c:v>-837.58978165127246</c:v>
                </c:pt>
                <c:pt idx="142">
                  <c:v>-836.13382476864899</c:v>
                </c:pt>
                <c:pt idx="143">
                  <c:v>-834.64850953215637</c:v>
                </c:pt>
                <c:pt idx="144">
                  <c:v>-833.13293891174442</c:v>
                </c:pt>
                <c:pt idx="145">
                  <c:v>-831.58617895691816</c:v>
                </c:pt>
                <c:pt idx="146">
                  <c:v>-830.00725687750207</c:v>
                </c:pt>
                <c:pt idx="147">
                  <c:v>-828.3951590034211</c:v>
                </c:pt>
                <c:pt idx="148">
                  <c:v>-826.74882861451499</c:v>
                </c:pt>
                <c:pt idx="149">
                  <c:v>-825.06716363061639</c:v>
                </c:pt>
                <c:pt idx="150">
                  <c:v>-823.34901415128559</c:v>
                </c:pt>
                <c:pt idx="151">
                  <c:v>-821.59317983365941</c:v>
                </c:pt>
                <c:pt idx="152">
                  <c:v>-819.79840709584744</c:v>
                </c:pt>
                <c:pt idx="153">
                  <c:v>-817.96338613218768</c:v>
                </c:pt>
                <c:pt idx="154">
                  <c:v>-816.08674772542099</c:v>
                </c:pt>
                <c:pt idx="155">
                  <c:v>-814.16705983948452</c:v>
                </c:pt>
                <c:pt idx="156">
                  <c:v>-812.20282397510346</c:v>
                </c:pt>
                <c:pt idx="157">
                  <c:v>-810.19247126868925</c:v>
                </c:pt>
                <c:pt idx="158">
                  <c:v>-808.13435831320032</c:v>
                </c:pt>
                <c:pt idx="159">
                  <c:v>-806.02676267757056</c:v>
                </c:pt>
                <c:pt idx="160">
                  <c:v>-803.86787809902808</c:v>
                </c:pt>
                <c:pt idx="161">
                  <c:v>-801.65580932010153</c:v>
                </c:pt>
                <c:pt idx="162">
                  <c:v>-799.38856653929872</c:v>
                </c:pt>
                <c:pt idx="163">
                  <c:v>-797.06405944130086</c:v>
                </c:pt>
                <c:pt idx="164">
                  <c:v>-794.68009076902899</c:v>
                </c:pt>
                <c:pt idx="165">
                  <c:v>-792.23434939603624</c:v>
                </c:pt>
                <c:pt idx="166">
                  <c:v>-789.72440285331015</c:v>
                </c:pt>
                <c:pt idx="167">
                  <c:v>-787.14768925969372</c:v>
                </c:pt>
                <c:pt idx="168">
                  <c:v>-784.50150859964913</c:v>
                </c:pt>
                <c:pt idx="169">
                  <c:v>-781.78301328593955</c:v>
                </c:pt>
                <c:pt idx="170">
                  <c:v>-778.98919793788411</c:v>
                </c:pt>
                <c:pt idx="171">
                  <c:v>-776.11688829805166</c:v>
                </c:pt>
                <c:pt idx="172">
                  <c:v>-773.16272920146423</c:v>
                </c:pt>
                <c:pt idx="173">
                  <c:v>-770.12317150144213</c:v>
                </c:pt>
                <c:pt idx="174">
                  <c:v>-766.99445784498278</c:v>
                </c:pt>
                <c:pt idx="175">
                  <c:v>-763.77260717780189</c:v>
                </c:pt>
                <c:pt idx="176">
                  <c:v>-760.45339784468479</c:v>
                </c:pt>
                <c:pt idx="177">
                  <c:v>-757.03234913430174</c:v>
                </c:pt>
                <c:pt idx="178">
                  <c:v>-749.50127128131294</c:v>
                </c:pt>
                <c:pt idx="179">
                  <c:v>-723.92434906406129</c:v>
                </c:pt>
                <c:pt idx="180">
                  <c:v>-698.23037939794608</c:v>
                </c:pt>
                <c:pt idx="181">
                  <c:v>-672.41362327367142</c:v>
                </c:pt>
                <c:pt idx="182">
                  <c:v>-646.46796025855303</c:v>
                </c:pt>
                <c:pt idx="183">
                  <c:v>-620.38685627364339</c:v>
                </c:pt>
                <c:pt idx="184">
                  <c:v>-594.16332804806257</c:v>
                </c:pt>
                <c:pt idx="185">
                  <c:v>-567.78990384379517</c:v>
                </c:pt>
                <c:pt idx="186">
                  <c:v>-541.25857998630499</c:v>
                </c:pt>
                <c:pt idx="187">
                  <c:v>-514.56077266893851</c:v>
                </c:pt>
                <c:pt idx="188">
                  <c:v>-487.68726442057635</c:v>
                </c:pt>
                <c:pt idx="189">
                  <c:v>-460.62814453410755</c:v>
                </c:pt>
                <c:pt idx="190">
                  <c:v>-433.37274264566565</c:v>
                </c:pt>
                <c:pt idx="191">
                  <c:v>-405.90955452792946</c:v>
                </c:pt>
                <c:pt idx="192">
                  <c:v>-378.22615901147157</c:v>
                </c:pt>
                <c:pt idx="193">
                  <c:v>-350.3091247715206</c:v>
                </c:pt>
                <c:pt idx="194">
                  <c:v>-322.14390550784447</c:v>
                </c:pt>
                <c:pt idx="195">
                  <c:v>-293.71472179585658</c:v>
                </c:pt>
                <c:pt idx="196">
                  <c:v>-265.00442758879518</c:v>
                </c:pt>
                <c:pt idx="197">
                  <c:v>-235.99435899313468</c:v>
                </c:pt>
                <c:pt idx="198">
                  <c:v>-206.66416250889418</c:v>
                </c:pt>
                <c:pt idx="199">
                  <c:v>-176.99159940625017</c:v>
                </c:pt>
                <c:pt idx="200">
                  <c:v>-146.95232227862573</c:v>
                </c:pt>
                <c:pt idx="201">
                  <c:v>-116.51961904326593</c:v>
                </c:pt>
                <c:pt idx="202">
                  <c:v>-85.664118718856301</c:v>
                </c:pt>
                <c:pt idx="203">
                  <c:v>-54.353452152076116</c:v>
                </c:pt>
                <c:pt idx="204">
                  <c:v>-22.551859434456041</c:v>
                </c:pt>
                <c:pt idx="205">
                  <c:v>9.7802660258545071</c:v>
                </c:pt>
                <c:pt idx="206">
                  <c:v>42.686909031473739</c:v>
                </c:pt>
                <c:pt idx="207">
                  <c:v>76.217054762580602</c:v>
                </c:pt>
                <c:pt idx="208">
                  <c:v>110.42542014308012</c:v>
                </c:pt>
                <c:pt idx="209">
                  <c:v>145.37331744038426</c:v>
                </c:pt>
                <c:pt idx="210">
                  <c:v>181.12967885847604</c:v>
                </c:pt>
                <c:pt idx="211">
                  <c:v>217.7722782617063</c:v>
                </c:pt>
                <c:pt idx="212">
                  <c:v>255.38919574430369</c:v>
                </c:pt>
                <c:pt idx="213">
                  <c:v>294.08058329158411</c:v>
                </c:pt>
                <c:pt idx="214">
                  <c:v>333.96080631122032</c:v>
                </c:pt>
                <c:pt idx="215">
                  <c:v>375.16105781855475</c:v>
                </c:pt>
                <c:pt idx="216">
                  <c:v>417.8325716290089</c:v>
                </c:pt>
                <c:pt idx="217">
                  <c:v>462.15060104633744</c:v>
                </c:pt>
                <c:pt idx="218">
                  <c:v>508.31938460676753</c:v>
                </c:pt>
                <c:pt idx="219">
                  <c:v>556.57839688792171</c:v>
                </c:pt>
                <c:pt idx="220">
                  <c:v>607.21028985370367</c:v>
                </c:pt>
                <c:pt idx="221">
                  <c:v>660.55108332134228</c:v>
                </c:pt>
                <c:pt idx="222">
                  <c:v>717.0033845213884</c:v>
                </c:pt>
                <c:pt idx="223">
                  <c:v>769.31279279279363</c:v>
                </c:pt>
                <c:pt idx="224">
                  <c:v>811.61716225390421</c:v>
                </c:pt>
                <c:pt idx="225">
                  <c:v>858.8448850574722</c:v>
                </c:pt>
                <c:pt idx="226">
                  <c:v>911.90852784134358</c:v>
                </c:pt>
                <c:pt idx="227">
                  <c:v>971.96104065040777</c:v>
                </c:pt>
                <c:pt idx="228">
                  <c:v>1040.4804873803323</c:v>
                </c:pt>
                <c:pt idx="229">
                  <c:v>1119.3933333333352</c:v>
                </c:pt>
                <c:pt idx="230">
                  <c:v>1211.2584397163141</c:v>
                </c:pt>
                <c:pt idx="231">
                  <c:v>1319.5497571743961</c:v>
                </c:pt>
                <c:pt idx="232">
                  <c:v>1449.1055515151552</c:v>
                </c:pt>
                <c:pt idx="233">
                  <c:v>1606.8710752688223</c:v>
                </c:pt>
                <c:pt idx="234">
                  <c:v>1803.1856410256476</c:v>
                </c:pt>
                <c:pt idx="235">
                  <c:v>2190.8815389075603</c:v>
                </c:pt>
                <c:pt idx="236">
                  <c:v>2700.4839653530776</c:v>
                </c:pt>
                <c:pt idx="237">
                  <c:v>3338.1848791126281</c:v>
                </c:pt>
                <c:pt idx="238">
                  <c:v>3338.1848791126281</c:v>
                </c:pt>
                <c:pt idx="239">
                  <c:v>3448.199803129346</c:v>
                </c:pt>
                <c:pt idx="240">
                  <c:v>3563.2886261359631</c:v>
                </c:pt>
                <c:pt idx="241">
                  <c:v>3791.2322365769628</c:v>
                </c:pt>
                <c:pt idx="242">
                  <c:v>3960.2396842744661</c:v>
                </c:pt>
                <c:pt idx="243">
                  <c:v>4110.5174134534527</c:v>
                </c:pt>
                <c:pt idx="244">
                  <c:v>4243.4032611509565</c:v>
                </c:pt>
                <c:pt idx="245">
                  <c:v>4360.235064404018</c:v>
                </c:pt>
                <c:pt idx="246">
                  <c:v>4462.35066024967</c:v>
                </c:pt>
                <c:pt idx="247">
                  <c:v>4551.0878857249527</c:v>
                </c:pt>
                <c:pt idx="248">
                  <c:v>4627.7845778669007</c:v>
                </c:pt>
                <c:pt idx="249">
                  <c:v>4693.7785737125541</c:v>
                </c:pt>
                <c:pt idx="250">
                  <c:v>4750.4077102989468</c:v>
                </c:pt>
                <c:pt idx="251">
                  <c:v>4799.0098246631196</c:v>
                </c:pt>
                <c:pt idx="252">
                  <c:v>4840.9227538421055</c:v>
                </c:pt>
                <c:pt idx="253">
                  <c:v>4877.4843348729446</c:v>
                </c:pt>
                <c:pt idx="254">
                  <c:v>4910.0324047926706</c:v>
                </c:pt>
                <c:pt idx="255">
                  <c:v>4934.0321187190348</c:v>
                </c:pt>
                <c:pt idx="256">
                  <c:v>4934.2550915585416</c:v>
                </c:pt>
              </c:numCache>
            </c:numRef>
          </c:xVal>
          <c:yVal>
            <c:numRef>
              <c:f>'caldom y'!$Y$21:$Y$277</c:f>
              <c:numCache>
                <c:formatCode>0</c:formatCode>
                <c:ptCount val="2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-1.4600848786383868E-3</c:v>
                </c:pt>
                <c:pt idx="103">
                  <c:v>-1.1455566796943545E-2</c:v>
                </c:pt>
                <c:pt idx="104">
                  <c:v>-3.7906000005438922E-2</c:v>
                </c:pt>
                <c:pt idx="105">
                  <c:v>-8.806556305067241E-2</c:v>
                </c:pt>
                <c:pt idx="106">
                  <c:v>-0.16853008233761788</c:v>
                </c:pt>
                <c:pt idx="107">
                  <c:v>-0.28524397506211696</c:v>
                </c:pt>
                <c:pt idx="108">
                  <c:v>-0.44350711253263059</c:v>
                </c:pt>
                <c:pt idx="109">
                  <c:v>-0.6479816048871726</c:v>
                </c:pt>
                <c:pt idx="110">
                  <c:v>-0.90269850819702446</c:v>
                </c:pt>
                <c:pt idx="111">
                  <c:v>-1.2110644549345524</c:v>
                </c:pt>
                <c:pt idx="112">
                  <c:v>-1.5758682087701708</c:v>
                </c:pt>
                <c:pt idx="113">
                  <c:v>-1.9992871446485072</c:v>
                </c:pt>
                <c:pt idx="114">
                  <c:v>-2.4828936550822704</c:v>
                </c:pt>
                <c:pt idx="115">
                  <c:v>-3.0276614835881293</c:v>
                </c:pt>
                <c:pt idx="116">
                  <c:v>-3.6339719861767592</c:v>
                </c:pt>
                <c:pt idx="117">
                  <c:v>-4.3016203217967899</c:v>
                </c:pt>
                <c:pt idx="118">
                  <c:v>-5.0298215726196469</c:v>
                </c:pt>
                <c:pt idx="119">
                  <c:v>-5.8172167950399514</c:v>
                </c:pt>
                <c:pt idx="120">
                  <c:v>-6.6618790022552163</c:v>
                </c:pt>
                <c:pt idx="121">
                  <c:v>-7.561319079274714</c:v>
                </c:pt>
                <c:pt idx="122">
                  <c:v>-8.5129965110616084</c:v>
                </c:pt>
                <c:pt idx="123">
                  <c:v>-9.5160233733514854</c:v>
                </c:pt>
                <c:pt idx="124">
                  <c:v>-10.569974082017898</c:v>
                </c:pt>
                <c:pt idx="125">
                  <c:v>-11.674426659089104</c:v>
                </c:pt>
                <c:pt idx="126">
                  <c:v>-12.828962698639453</c:v>
                </c:pt>
                <c:pt idx="127">
                  <c:v>-14.033167333043858</c:v>
                </c:pt>
                <c:pt idx="128">
                  <c:v>-15.286629199590832</c:v>
                </c:pt>
                <c:pt idx="129">
                  <c:v>-16.588940407451361</c:v>
                </c:pt>
                <c:pt idx="130">
                  <c:v>-17.939696504996284</c:v>
                </c:pt>
                <c:pt idx="131">
                  <c:v>-19.338496447462411</c:v>
                </c:pt>
                <c:pt idx="132">
                  <c:v>-20.784942564958541</c:v>
                </c:pt>
                <c:pt idx="133">
                  <c:v>-22.27864053081198</c:v>
                </c:pt>
                <c:pt idx="134">
                  <c:v>-23.819199330246686</c:v>
                </c:pt>
                <c:pt idx="135">
                  <c:v>-25.406231229393839</c:v>
                </c:pt>
                <c:pt idx="136">
                  <c:v>-27.039351744627432</c:v>
                </c:pt>
                <c:pt idx="137">
                  <c:v>-27.039351744627371</c:v>
                </c:pt>
                <c:pt idx="138">
                  <c:v>-27.288957367009328</c:v>
                </c:pt>
                <c:pt idx="139">
                  <c:v>-27.54320674538037</c:v>
                </c:pt>
                <c:pt idx="140">
                  <c:v>-27.802230454387754</c:v>
                </c:pt>
                <c:pt idx="141">
                  <c:v>-28.066164000580191</c:v>
                </c:pt>
                <c:pt idx="142">
                  <c:v>-28.335148056958445</c:v>
                </c:pt>
                <c:pt idx="143">
                  <c:v>-28.609328711006551</c:v>
                </c:pt>
                <c:pt idx="144">
                  <c:v>-28.88885772711356</c:v>
                </c:pt>
                <c:pt idx="145">
                  <c:v>-29.173892824366661</c:v>
                </c:pt>
                <c:pt idx="146">
                  <c:v>-29.464597970773472</c:v>
                </c:pt>
                <c:pt idx="147">
                  <c:v>-29.761143695054635</c:v>
                </c:pt>
                <c:pt idx="148">
                  <c:v>-30.063707417239279</c:v>
                </c:pt>
                <c:pt idx="149">
                  <c:v>-30.372473799395546</c:v>
                </c:pt>
                <c:pt idx="150">
                  <c:v>-30.68763511793658</c:v>
                </c:pt>
                <c:pt idx="151">
                  <c:v>-31.00939165906118</c:v>
                </c:pt>
                <c:pt idx="152">
                  <c:v>-31.337952139017567</c:v>
                </c:pt>
                <c:pt idx="153">
                  <c:v>-31.673534151021109</c:v>
                </c:pt>
                <c:pt idx="154">
                  <c:v>-32.016364640811297</c:v>
                </c:pt>
                <c:pt idx="155">
                  <c:v>-32.366680413004147</c:v>
                </c:pt>
                <c:pt idx="156">
                  <c:v>-32.724728670582095</c:v>
                </c:pt>
                <c:pt idx="157">
                  <c:v>-33.090767590069277</c:v>
                </c:pt>
                <c:pt idx="158">
                  <c:v>-33.46506693516411</c:v>
                </c:pt>
                <c:pt idx="159">
                  <c:v>-33.847908711849961</c:v>
                </c:pt>
                <c:pt idx="160">
                  <c:v>-34.23958786827648</c:v>
                </c:pt>
                <c:pt idx="161">
                  <c:v>-34.640413043005275</c:v>
                </c:pt>
                <c:pt idx="162">
                  <c:v>-35.050707365544966</c:v>
                </c:pt>
                <c:pt idx="163">
                  <c:v>-35.470809313466788</c:v>
                </c:pt>
                <c:pt idx="164">
                  <c:v>-35.901073630796908</c:v>
                </c:pt>
                <c:pt idx="165">
                  <c:v>-36.341872312829153</c:v>
                </c:pt>
                <c:pt idx="166">
                  <c:v>-36.793595662998456</c:v>
                </c:pt>
                <c:pt idx="167">
                  <c:v>-37.25665342800518</c:v>
                </c:pt>
                <c:pt idx="168">
                  <c:v>-37.731476017991625</c:v>
                </c:pt>
                <c:pt idx="169">
                  <c:v>-38.21851581925069</c:v>
                </c:pt>
                <c:pt idx="170">
                  <c:v>-38.718248607702293</c:v>
                </c:pt>
                <c:pt idx="171">
                  <c:v>-39.231175072214533</c:v>
                </c:pt>
                <c:pt idx="172">
                  <c:v>-39.757822457784776</c:v>
                </c:pt>
                <c:pt idx="173">
                  <c:v>-40.298746339644175</c:v>
                </c:pt>
                <c:pt idx="174">
                  <c:v>-40.854532540520118</c:v>
                </c:pt>
                <c:pt idx="175">
                  <c:v>-41.425799204602022</c:v>
                </c:pt>
                <c:pt idx="176">
                  <c:v>-42.013199043225697</c:v>
                </c:pt>
                <c:pt idx="177">
                  <c:v>-42.617421768939366</c:v>
                </c:pt>
                <c:pt idx="178">
                  <c:v>-43.951807243986664</c:v>
                </c:pt>
                <c:pt idx="179">
                  <c:v>-48.496801535168295</c:v>
                </c:pt>
                <c:pt idx="180">
                  <c:v>-53.060937428413389</c:v>
                </c:pt>
                <c:pt idx="181">
                  <c:v>-57.645081443078226</c:v>
                </c:pt>
                <c:pt idx="182">
                  <c:v>-62.250152822525813</c:v>
                </c:pt>
                <c:pt idx="183">
                  <c:v>-66.877127570235587</c:v>
                </c:pt>
                <c:pt idx="184">
                  <c:v>-71.527042858263727</c:v>
                </c:pt>
                <c:pt idx="185">
                  <c:v>-76.201001848172098</c:v>
                </c:pt>
                <c:pt idx="186">
                  <c:v>-80.900178969462843</c:v>
                </c:pt>
                <c:pt idx="187">
                  <c:v>-85.625825706151133</c:v>
                </c:pt>
                <c:pt idx="188">
                  <c:v>-90.37927694846546</c:v>
                </c:pt>
                <c:pt idx="189">
                  <c:v>-95.161957973918376</c:v>
                </c:pt>
                <c:pt idx="190">
                  <c:v>-99.975392130246846</c:v>
                </c:pt>
                <c:pt idx="191">
                  <c:v>-104.82120930215901</c:v>
                </c:pt>
                <c:pt idx="192">
                  <c:v>-109.70115525459994</c:v>
                </c:pt>
                <c:pt idx="193">
                  <c:v>-114.61710195756808</c:v>
                </c:pt>
                <c:pt idx="194">
                  <c:v>-119.57105901161594</c:v>
                </c:pt>
                <c:pt idx="195">
                  <c:v>-124.5651863093024</c:v>
                </c:pt>
                <c:pt idx="196">
                  <c:v>-129.60180808633507</c:v>
                </c:pt>
                <c:pt idx="197">
                  <c:v>-134.68342853728606</c:v>
                </c:pt>
                <c:pt idx="198">
                  <c:v>-139.81274919494248</c:v>
                </c:pt>
                <c:pt idx="199">
                  <c:v>-144.9926882999809</c:v>
                </c:pt>
                <c:pt idx="200">
                  <c:v>-150.22640241915613</c:v>
                </c:pt>
                <c:pt idx="201">
                  <c:v>-155.51731060600289</c:v>
                </c:pt>
                <c:pt idx="202">
                  <c:v>-160.8691214385926</c:v>
                </c:pt>
                <c:pt idx="203">
                  <c:v>-166.28586331450077</c:v>
                </c:pt>
                <c:pt idx="204">
                  <c:v>-171.77191843401886</c:v>
                </c:pt>
                <c:pt idx="205">
                  <c:v>-177.33206095868999</c:v>
                </c:pt>
                <c:pt idx="206">
                  <c:v>-182.9714998928529</c:v>
                </c:pt>
                <c:pt idx="207">
                  <c:v>-188.69592729960155</c:v>
                </c:pt>
                <c:pt idx="208">
                  <c:v>-194.51157252659314</c:v>
                </c:pt>
                <c:pt idx="209">
                  <c:v>-200.4252631764372</c:v>
                </c:pt>
                <c:pt idx="210">
                  <c:v>-206.44449360243351</c:v>
                </c:pt>
                <c:pt idx="211">
                  <c:v>-212.57750172906208</c:v>
                </c:pt>
                <c:pt idx="212">
                  <c:v>-218.8333549648658</c:v>
                </c:pt>
                <c:pt idx="213">
                  <c:v>-225.22204585609956</c:v>
                </c:pt>
                <c:pt idx="214">
                  <c:v>-231.75459786316728</c:v>
                </c:pt>
                <c:pt idx="215">
                  <c:v>-238.44318113274133</c:v>
                </c:pt>
                <c:pt idx="216">
                  <c:v>-245.30123723255301</c:v>
                </c:pt>
                <c:pt idx="217">
                  <c:v>-252.34361026406103</c:v>
                </c:pt>
                <c:pt idx="218">
                  <c:v>-259.58667916476986</c:v>
                </c:pt>
                <c:pt idx="219">
                  <c:v>-267.04848168996551</c:v>
                </c:pt>
                <c:pt idx="220">
                  <c:v>-274.7488134148968</c:v>
                </c:pt>
                <c:pt idx="221">
                  <c:v>-282.70927325807992</c:v>
                </c:pt>
                <c:pt idx="222">
                  <c:v>-290.9532073098008</c:v>
                </c:pt>
                <c:pt idx="223">
                  <c:v>-298.12758067566011</c:v>
                </c:pt>
                <c:pt idx="224">
                  <c:v>-303.10907817976187</c:v>
                </c:pt>
                <c:pt idx="225">
                  <c:v>-308.45034090403999</c:v>
                </c:pt>
                <c:pt idx="226">
                  <c:v>-314.17475984625167</c:v>
                </c:pt>
                <c:pt idx="227">
                  <c:v>-320.29973248104181</c:v>
                </c:pt>
                <c:pt idx="228">
                  <c:v>-326.82996370708804</c:v>
                </c:pt>
                <c:pt idx="229">
                  <c:v>-333.74547296408758</c:v>
                </c:pt>
                <c:pt idx="230">
                  <c:v>-340.9798706230153</c:v>
                </c:pt>
                <c:pt idx="231">
                  <c:v>-348.38020580036664</c:v>
                </c:pt>
                <c:pt idx="232">
                  <c:v>-355.63060631681481</c:v>
                </c:pt>
                <c:pt idx="233">
                  <c:v>-362.10150745940484</c:v>
                </c:pt>
                <c:pt idx="234">
                  <c:v>-366.53729092440756</c:v>
                </c:pt>
                <c:pt idx="235">
                  <c:v>-342.02903211892669</c:v>
                </c:pt>
                <c:pt idx="236">
                  <c:v>-300.13720899481888</c:v>
                </c:pt>
                <c:pt idx="237">
                  <c:v>-235.30408638680214</c:v>
                </c:pt>
                <c:pt idx="238">
                  <c:v>-235.30408638680214</c:v>
                </c:pt>
                <c:pt idx="239">
                  <c:v>-222.20771251686827</c:v>
                </c:pt>
                <c:pt idx="240">
                  <c:v>-207.804392057341</c:v>
                </c:pt>
                <c:pt idx="241">
                  <c:v>-177.01189675814877</c:v>
                </c:pt>
                <c:pt idx="242">
                  <c:v>-144.88059739039181</c:v>
                </c:pt>
                <c:pt idx="243">
                  <c:v>-118.21276965579145</c:v>
                </c:pt>
                <c:pt idx="244">
                  <c:v>-96.221000898263654</c:v>
                </c:pt>
                <c:pt idx="245">
                  <c:v>-78.179036726273637</c:v>
                </c:pt>
                <c:pt idx="246">
                  <c:v>-63.421781012837208</c:v>
                </c:pt>
                <c:pt idx="247">
                  <c:v>-51.345295895520898</c:v>
                </c:pt>
                <c:pt idx="248">
                  <c:v>-41.406801776441043</c:v>
                </c:pt>
                <c:pt idx="249">
                  <c:v>-33.124677322263977</c:v>
                </c:pt>
                <c:pt idx="250">
                  <c:v>-26.078459464207015</c:v>
                </c:pt>
                <c:pt idx="251">
                  <c:v>-19.908843398036943</c:v>
                </c:pt>
                <c:pt idx="252">
                  <c:v>-14.317682584071845</c:v>
                </c:pt>
                <c:pt idx="253">
                  <c:v>-9.0679887471787186</c:v>
                </c:pt>
                <c:pt idx="254">
                  <c:v>-3.9839318767760097</c:v>
                </c:pt>
                <c:pt idx="255">
                  <c:v>3.8223915351629258E-3</c:v>
                </c:pt>
                <c:pt idx="256">
                  <c:v>6.7055225372314457E-13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402832"/>
        <c:axId val="-105399568"/>
      </c:scatterChart>
      <c:valAx>
        <c:axId val="-10540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05399568"/>
        <c:crosses val="autoZero"/>
        <c:crossBetween val="midCat"/>
      </c:valAx>
      <c:valAx>
        <c:axId val="-10539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0540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Mx-My</a:t>
            </a:r>
            <a:r>
              <a:rPr lang="it-IT" baseline="0"/>
              <a:t>  BASE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2672176308539945E-2"/>
          <c:y val="0.10706331045003814"/>
          <c:w val="0.89328370317346695"/>
          <c:h val="0.79760621622366246"/>
        </c:manualLayout>
      </c:layout>
      <c:scatterChart>
        <c:scatterStyle val="lineMarker"/>
        <c:varyColors val="0"/>
        <c:ser>
          <c:idx val="2"/>
          <c:order val="0"/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rgbClr val="FF0000"/>
                </a:solidFill>
              </a:ln>
              <a:effectLst/>
            </c:spPr>
          </c:marker>
          <c:xVal>
            <c:numRef>
              <c:f>DATI!$C$66</c:f>
              <c:numCache>
                <c:formatCode>0.0" kNm"</c:formatCode>
                <c:ptCount val="1"/>
                <c:pt idx="0">
                  <c:v>480</c:v>
                </c:pt>
              </c:numCache>
            </c:numRef>
          </c:xVal>
          <c:yVal>
            <c:numRef>
              <c:f>DATI!$D$66</c:f>
              <c:numCache>
                <c:formatCode>0.0" kNm"</c:formatCode>
                <c:ptCount val="1"/>
                <c:pt idx="0">
                  <c:v>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399024"/>
        <c:axId val="-105401744"/>
      </c:scatterChart>
      <c:scatterChart>
        <c:scatterStyle val="smoothMarker"/>
        <c:varyColors val="0"/>
        <c:ser>
          <c:idx val="0"/>
          <c:order val="1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Foglio2!$G$4:$G$175</c:f>
              <c:numCache>
                <c:formatCode>0.0</c:formatCode>
                <c:ptCount val="172"/>
                <c:pt idx="0">
                  <c:v>0</c:v>
                </c:pt>
                <c:pt idx="1">
                  <c:v>4.7685296737477687</c:v>
                </c:pt>
                <c:pt idx="2">
                  <c:v>9.5370593474955374</c:v>
                </c:pt>
                <c:pt idx="3">
                  <c:v>14.305589021243307</c:v>
                </c:pt>
                <c:pt idx="4">
                  <c:v>19.074118694991075</c:v>
                </c:pt>
                <c:pt idx="5">
                  <c:v>23.842648368738846</c:v>
                </c:pt>
                <c:pt idx="6">
                  <c:v>28.611178042486614</c:v>
                </c:pt>
                <c:pt idx="7">
                  <c:v>33.379707716234385</c:v>
                </c:pt>
                <c:pt idx="8">
                  <c:v>38.14823738998215</c:v>
                </c:pt>
                <c:pt idx="9">
                  <c:v>42.916767063729921</c:v>
                </c:pt>
                <c:pt idx="10">
                  <c:v>47.685296737477692</c:v>
                </c:pt>
                <c:pt idx="11">
                  <c:v>52.453826411225457</c:v>
                </c:pt>
                <c:pt idx="12">
                  <c:v>57.222356084973228</c:v>
                </c:pt>
                <c:pt idx="13">
                  <c:v>61.990885758720999</c:v>
                </c:pt>
                <c:pt idx="14">
                  <c:v>66.759415432468771</c:v>
                </c:pt>
                <c:pt idx="15">
                  <c:v>71.527945106216535</c:v>
                </c:pt>
                <c:pt idx="16">
                  <c:v>76.296474779964299</c:v>
                </c:pt>
                <c:pt idx="17">
                  <c:v>81.065004453712078</c:v>
                </c:pt>
                <c:pt idx="18">
                  <c:v>85.833534127459842</c:v>
                </c:pt>
                <c:pt idx="19">
                  <c:v>90.602063801207606</c:v>
                </c:pt>
                <c:pt idx="20">
                  <c:v>95.370593474955385</c:v>
                </c:pt>
                <c:pt idx="21">
                  <c:v>100.13912314870315</c:v>
                </c:pt>
                <c:pt idx="22">
                  <c:v>104.90765282245091</c:v>
                </c:pt>
                <c:pt idx="23">
                  <c:v>109.67618249619869</c:v>
                </c:pt>
                <c:pt idx="24">
                  <c:v>114.44471216994646</c:v>
                </c:pt>
                <c:pt idx="25">
                  <c:v>119.21324184369422</c:v>
                </c:pt>
                <c:pt idx="26">
                  <c:v>123.981771517442</c:v>
                </c:pt>
                <c:pt idx="27">
                  <c:v>128.75030119118975</c:v>
                </c:pt>
                <c:pt idx="28">
                  <c:v>133.51883086493754</c:v>
                </c:pt>
                <c:pt idx="29">
                  <c:v>138.28736053868531</c:v>
                </c:pt>
                <c:pt idx="30">
                  <c:v>143.05589021243307</c:v>
                </c:pt>
                <c:pt idx="31">
                  <c:v>147.82441988618083</c:v>
                </c:pt>
                <c:pt idx="32">
                  <c:v>152.5929495599286</c:v>
                </c:pt>
                <c:pt idx="33">
                  <c:v>157.36147923367636</c:v>
                </c:pt>
                <c:pt idx="34">
                  <c:v>162.13000890742416</c:v>
                </c:pt>
                <c:pt idx="35">
                  <c:v>166.89853858117192</c:v>
                </c:pt>
                <c:pt idx="36">
                  <c:v>171.66706825491968</c:v>
                </c:pt>
                <c:pt idx="37">
                  <c:v>176.43559792866745</c:v>
                </c:pt>
                <c:pt idx="38">
                  <c:v>181.20412760241521</c:v>
                </c:pt>
                <c:pt idx="39">
                  <c:v>185.97265727616298</c:v>
                </c:pt>
                <c:pt idx="40">
                  <c:v>190.74118694991077</c:v>
                </c:pt>
                <c:pt idx="41">
                  <c:v>195.50971662365853</c:v>
                </c:pt>
                <c:pt idx="42">
                  <c:v>200.2782462974063</c:v>
                </c:pt>
                <c:pt idx="43">
                  <c:v>205.04677597115406</c:v>
                </c:pt>
                <c:pt idx="44">
                  <c:v>209.81530564490183</c:v>
                </c:pt>
                <c:pt idx="45">
                  <c:v>214.58383531864959</c:v>
                </c:pt>
                <c:pt idx="46">
                  <c:v>219.35236499239738</c:v>
                </c:pt>
                <c:pt idx="47">
                  <c:v>224.12089466614515</c:v>
                </c:pt>
                <c:pt idx="48">
                  <c:v>228.88942433989291</c:v>
                </c:pt>
                <c:pt idx="49">
                  <c:v>233.65795401364068</c:v>
                </c:pt>
                <c:pt idx="50">
                  <c:v>238.42648368738844</c:v>
                </c:pt>
                <c:pt idx="51">
                  <c:v>243.1950133611362</c:v>
                </c:pt>
                <c:pt idx="52">
                  <c:v>247.963543034884</c:v>
                </c:pt>
                <c:pt idx="53">
                  <c:v>252.73207270863176</c:v>
                </c:pt>
                <c:pt idx="54">
                  <c:v>257.5006023823795</c:v>
                </c:pt>
                <c:pt idx="55">
                  <c:v>262.26913205612732</c:v>
                </c:pt>
                <c:pt idx="56">
                  <c:v>267.03766172987508</c:v>
                </c:pt>
                <c:pt idx="57">
                  <c:v>271.80619140362285</c:v>
                </c:pt>
                <c:pt idx="58">
                  <c:v>276.57472107737061</c:v>
                </c:pt>
                <c:pt idx="59">
                  <c:v>281.34325075111838</c:v>
                </c:pt>
                <c:pt idx="60">
                  <c:v>286.11178042486614</c:v>
                </c:pt>
                <c:pt idx="61">
                  <c:v>290.8803100986139</c:v>
                </c:pt>
                <c:pt idx="62">
                  <c:v>295.64883977236167</c:v>
                </c:pt>
                <c:pt idx="63">
                  <c:v>300.41736944610943</c:v>
                </c:pt>
                <c:pt idx="64">
                  <c:v>305.1858991198572</c:v>
                </c:pt>
                <c:pt idx="65">
                  <c:v>309.95442879360496</c:v>
                </c:pt>
                <c:pt idx="66">
                  <c:v>314.72295846735273</c:v>
                </c:pt>
                <c:pt idx="67">
                  <c:v>319.49148814110055</c:v>
                </c:pt>
                <c:pt idx="68">
                  <c:v>324.26001781484831</c:v>
                </c:pt>
                <c:pt idx="69">
                  <c:v>329.02854748859608</c:v>
                </c:pt>
                <c:pt idx="70">
                  <c:v>333.79707716234384</c:v>
                </c:pt>
                <c:pt idx="71">
                  <c:v>338.5656068360916</c:v>
                </c:pt>
                <c:pt idx="72">
                  <c:v>343.33413650983937</c:v>
                </c:pt>
                <c:pt idx="73">
                  <c:v>348.10266618358713</c:v>
                </c:pt>
                <c:pt idx="74">
                  <c:v>352.8711958573349</c:v>
                </c:pt>
                <c:pt idx="75">
                  <c:v>357.63972553108266</c:v>
                </c:pt>
                <c:pt idx="76">
                  <c:v>362.40825520483043</c:v>
                </c:pt>
                <c:pt idx="77">
                  <c:v>367.17678487857819</c:v>
                </c:pt>
                <c:pt idx="78">
                  <c:v>371.94531455232595</c:v>
                </c:pt>
                <c:pt idx="79">
                  <c:v>376.71384422607377</c:v>
                </c:pt>
                <c:pt idx="80">
                  <c:v>381.48237389982154</c:v>
                </c:pt>
                <c:pt idx="81">
                  <c:v>386.2509035735693</c:v>
                </c:pt>
                <c:pt idx="82">
                  <c:v>391.01943324731707</c:v>
                </c:pt>
                <c:pt idx="83">
                  <c:v>395.78796292106483</c:v>
                </c:pt>
                <c:pt idx="84">
                  <c:v>400.5564925948126</c:v>
                </c:pt>
                <c:pt idx="85">
                  <c:v>405.32502226856036</c:v>
                </c:pt>
                <c:pt idx="86">
                  <c:v>410.09355194230812</c:v>
                </c:pt>
                <c:pt idx="87">
                  <c:v>414.86208161605595</c:v>
                </c:pt>
                <c:pt idx="88">
                  <c:v>419.63061128980365</c:v>
                </c:pt>
                <c:pt idx="89">
                  <c:v>424.39914096355147</c:v>
                </c:pt>
                <c:pt idx="90">
                  <c:v>429.16767063729918</c:v>
                </c:pt>
                <c:pt idx="91">
                  <c:v>433.936200311047</c:v>
                </c:pt>
                <c:pt idx="92">
                  <c:v>438.70472998479477</c:v>
                </c:pt>
                <c:pt idx="93">
                  <c:v>443.47325965854259</c:v>
                </c:pt>
                <c:pt idx="94">
                  <c:v>448.2417893322903</c:v>
                </c:pt>
                <c:pt idx="95">
                  <c:v>453.01031900603812</c:v>
                </c:pt>
                <c:pt idx="96">
                  <c:v>457.77884867978582</c:v>
                </c:pt>
                <c:pt idx="97">
                  <c:v>462.54737835353365</c:v>
                </c:pt>
                <c:pt idx="98">
                  <c:v>467.31590802728135</c:v>
                </c:pt>
                <c:pt idx="99">
                  <c:v>472.08443770102917</c:v>
                </c:pt>
                <c:pt idx="100">
                  <c:v>476.85296737477688</c:v>
                </c:pt>
                <c:pt idx="101">
                  <c:v>481.6214970485247</c:v>
                </c:pt>
                <c:pt idx="102">
                  <c:v>486.39002672227241</c:v>
                </c:pt>
                <c:pt idx="103">
                  <c:v>491.15855639602023</c:v>
                </c:pt>
                <c:pt idx="104">
                  <c:v>495.927086069768</c:v>
                </c:pt>
                <c:pt idx="105">
                  <c:v>500.69561574351582</c:v>
                </c:pt>
                <c:pt idx="106">
                  <c:v>505.46414541726352</c:v>
                </c:pt>
                <c:pt idx="107">
                  <c:v>510.23267509101134</c:v>
                </c:pt>
                <c:pt idx="108">
                  <c:v>515.001204764759</c:v>
                </c:pt>
                <c:pt idx="109">
                  <c:v>519.76973443850682</c:v>
                </c:pt>
                <c:pt idx="110">
                  <c:v>524.53826411225464</c:v>
                </c:pt>
                <c:pt idx="111">
                  <c:v>529.30679378600246</c:v>
                </c:pt>
                <c:pt idx="112">
                  <c:v>534.07532345975017</c:v>
                </c:pt>
                <c:pt idx="113">
                  <c:v>538.84385313349799</c:v>
                </c:pt>
                <c:pt idx="114">
                  <c:v>543.61238280724569</c:v>
                </c:pt>
                <c:pt idx="115">
                  <c:v>548.38091248099352</c:v>
                </c:pt>
                <c:pt idx="116">
                  <c:v>553.14944215474122</c:v>
                </c:pt>
                <c:pt idx="117">
                  <c:v>557.91797182848904</c:v>
                </c:pt>
                <c:pt idx="118">
                  <c:v>562.68650150223675</c:v>
                </c:pt>
                <c:pt idx="119">
                  <c:v>567.45503117598457</c:v>
                </c:pt>
                <c:pt idx="120">
                  <c:v>572.22356084973228</c:v>
                </c:pt>
                <c:pt idx="121">
                  <c:v>576.9920905234801</c:v>
                </c:pt>
                <c:pt idx="122">
                  <c:v>581.76062019722781</c:v>
                </c:pt>
                <c:pt idx="123">
                  <c:v>586.52914987097563</c:v>
                </c:pt>
                <c:pt idx="124">
                  <c:v>591.29767954472334</c:v>
                </c:pt>
                <c:pt idx="125">
                  <c:v>596.06620921847116</c:v>
                </c:pt>
                <c:pt idx="126">
                  <c:v>600.83473889221887</c:v>
                </c:pt>
                <c:pt idx="127">
                  <c:v>605.60326856596669</c:v>
                </c:pt>
                <c:pt idx="128">
                  <c:v>610.37179823971439</c:v>
                </c:pt>
                <c:pt idx="129">
                  <c:v>615.14032791346222</c:v>
                </c:pt>
                <c:pt idx="130">
                  <c:v>619.90885758720992</c:v>
                </c:pt>
                <c:pt idx="131">
                  <c:v>624.67738726095774</c:v>
                </c:pt>
                <c:pt idx="132">
                  <c:v>629.44591693470545</c:v>
                </c:pt>
                <c:pt idx="133">
                  <c:v>634.21444660845327</c:v>
                </c:pt>
                <c:pt idx="134">
                  <c:v>638.98297628220109</c:v>
                </c:pt>
                <c:pt idx="135">
                  <c:v>643.75150595594891</c:v>
                </c:pt>
                <c:pt idx="136">
                  <c:v>648.52003562969662</c:v>
                </c:pt>
                <c:pt idx="137">
                  <c:v>653.28856530344444</c:v>
                </c:pt>
                <c:pt idx="138">
                  <c:v>658.05709497719215</c:v>
                </c:pt>
                <c:pt idx="139">
                  <c:v>662.82562465093997</c:v>
                </c:pt>
                <c:pt idx="140">
                  <c:v>667.59415432468768</c:v>
                </c:pt>
                <c:pt idx="141">
                  <c:v>672.3626839984355</c:v>
                </c:pt>
                <c:pt idx="142">
                  <c:v>677.13121367218321</c:v>
                </c:pt>
                <c:pt idx="143">
                  <c:v>681.89974334593103</c:v>
                </c:pt>
                <c:pt idx="144">
                  <c:v>686.66827301967874</c:v>
                </c:pt>
                <c:pt idx="145">
                  <c:v>691.43680269342656</c:v>
                </c:pt>
                <c:pt idx="146">
                  <c:v>696.20533236717426</c:v>
                </c:pt>
                <c:pt idx="147">
                  <c:v>700.97386204092209</c:v>
                </c:pt>
                <c:pt idx="148">
                  <c:v>705.74239171466979</c:v>
                </c:pt>
                <c:pt idx="149">
                  <c:v>710.51092138841761</c:v>
                </c:pt>
                <c:pt idx="150">
                  <c:v>715.27945106216532</c:v>
                </c:pt>
                <c:pt idx="151">
                  <c:v>720.04798073591314</c:v>
                </c:pt>
                <c:pt idx="152">
                  <c:v>724.81651040966085</c:v>
                </c:pt>
                <c:pt idx="153">
                  <c:v>729.58504008340867</c:v>
                </c:pt>
                <c:pt idx="154">
                  <c:v>734.35356975715638</c:v>
                </c:pt>
                <c:pt idx="155">
                  <c:v>739.1220994309042</c:v>
                </c:pt>
                <c:pt idx="156">
                  <c:v>743.89062910465191</c:v>
                </c:pt>
                <c:pt idx="157">
                  <c:v>748.65915877839973</c:v>
                </c:pt>
                <c:pt idx="158">
                  <c:v>753.42768845214755</c:v>
                </c:pt>
                <c:pt idx="159">
                  <c:v>758.19621812589537</c:v>
                </c:pt>
                <c:pt idx="160">
                  <c:v>762.96474779964308</c:v>
                </c:pt>
                <c:pt idx="161">
                  <c:v>767.7332774733909</c:v>
                </c:pt>
                <c:pt idx="162">
                  <c:v>772.50180714713861</c:v>
                </c:pt>
                <c:pt idx="163">
                  <c:v>777.27033682088643</c:v>
                </c:pt>
                <c:pt idx="164">
                  <c:v>782.03886649463414</c:v>
                </c:pt>
                <c:pt idx="165">
                  <c:v>786.80739616838196</c:v>
                </c:pt>
                <c:pt idx="166">
                  <c:v>791.57592584212966</c:v>
                </c:pt>
                <c:pt idx="167">
                  <c:v>796.34445551587748</c:v>
                </c:pt>
                <c:pt idx="168">
                  <c:v>801.11298518962519</c:v>
                </c:pt>
                <c:pt idx="169">
                  <c:v>805.88151486337301</c:v>
                </c:pt>
                <c:pt idx="170">
                  <c:v>810.65004453712072</c:v>
                </c:pt>
                <c:pt idx="171">
                  <c:v>815.41857421086854</c:v>
                </c:pt>
              </c:numCache>
            </c:numRef>
          </c:xVal>
          <c:yVal>
            <c:numRef>
              <c:f>Foglio2!$H$4:$H$175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361.993543877891</c:v>
                </c:pt>
                <c:pt idx="2">
                  <c:v>361.79609869293654</c:v>
                </c:pt>
                <c:pt idx="3">
                  <c:v>361.54033657577315</c:v>
                </c:pt>
                <c:pt idx="4">
                  <c:v>361.23734740335658</c:v>
                </c:pt>
                <c:pt idx="5">
                  <c:v>360.89351986487043</c:v>
                </c:pt>
                <c:pt idx="6">
                  <c:v>360.51314851630991</c:v>
                </c:pt>
                <c:pt idx="7">
                  <c:v>360.09937288800376</c:v>
                </c:pt>
                <c:pt idx="8">
                  <c:v>359.65461420974276</c:v>
                </c:pt>
                <c:pt idx="9">
                  <c:v>359.18081055455207</c:v>
                </c:pt>
                <c:pt idx="10">
                  <c:v>358.67955638366533</c:v>
                </c:pt>
                <c:pt idx="11">
                  <c:v>358.15219136030549</c:v>
                </c:pt>
                <c:pt idx="12">
                  <c:v>357.59985995070707</c:v>
                </c:pt>
                <c:pt idx="13">
                  <c:v>357.0235531205056</c:v>
                </c:pt>
                <c:pt idx="14">
                  <c:v>356.4241385019414</c:v>
                </c:pt>
                <c:pt idx="15">
                  <c:v>355.80238283327202</c:v>
                </c:pt>
                <c:pt idx="16">
                  <c:v>355.15896904305589</c:v>
                </c:pt>
                <c:pt idx="17">
                  <c:v>354.49450951775077</c:v>
                </c:pt>
                <c:pt idx="18">
                  <c:v>353.80955658290424</c:v>
                </c:pt>
                <c:pt idx="19">
                  <c:v>353.10461090730041</c:v>
                </c:pt>
                <c:pt idx="20">
                  <c:v>352.38012833037726</c:v>
                </c:pt>
                <c:pt idx="21">
                  <c:v>351.63652547332322</c:v>
                </c:pt>
                <c:pt idx="22">
                  <c:v>350.87418439837086</c:v>
                </c:pt>
                <c:pt idx="23">
                  <c:v>350.09345651368761</c:v>
                </c:pt>
                <c:pt idx="24">
                  <c:v>349.29466587339016</c:v>
                </c:pt>
                <c:pt idx="25">
                  <c:v>348.47811198748059</c:v>
                </c:pt>
                <c:pt idx="26">
                  <c:v>347.64407223092343</c:v>
                </c:pt>
                <c:pt idx="27">
                  <c:v>346.79280392197461</c:v>
                </c:pt>
                <c:pt idx="28">
                  <c:v>345.92454612542446</c:v>
                </c:pt>
                <c:pt idx="29">
                  <c:v>345.03952122535645</c:v>
                </c:pt>
                <c:pt idx="30">
                  <c:v>344.13793630347084</c:v>
                </c:pt>
                <c:pt idx="31">
                  <c:v>343.21998435234212</c:v>
                </c:pt>
                <c:pt idx="32">
                  <c:v>342.28584534771159</c:v>
                </c:pt>
                <c:pt idx="33">
                  <c:v>341.33568719973215</c:v>
                </c:pt>
                <c:pt idx="34">
                  <c:v>340.36966659972626</c:v>
                </c:pt>
                <c:pt idx="35">
                  <c:v>339.38792977631209</c:v>
                </c:pt>
                <c:pt idx="36">
                  <c:v>338.3906131725509</c:v>
                </c:pt>
                <c:pt idx="37">
                  <c:v>337.37784405397099</c:v>
                </c:pt>
                <c:pt idx="38">
                  <c:v>336.34974105583876</c:v>
                </c:pt>
                <c:pt idx="39">
                  <c:v>335.30641467682443</c:v>
                </c:pt>
                <c:pt idx="40">
                  <c:v>334.24796772518727</c:v>
                </c:pt>
                <c:pt idx="41">
                  <c:v>333.17449572275177</c:v>
                </c:pt>
                <c:pt idx="42">
                  <c:v>332.08608727122913</c:v>
                </c:pt>
                <c:pt idx="43">
                  <c:v>330.98282438483085</c:v>
                </c:pt>
                <c:pt idx="44">
                  <c:v>329.86478279260945</c:v>
                </c:pt>
                <c:pt idx="45">
                  <c:v>328.73203221351918</c:v>
                </c:pt>
                <c:pt idx="46">
                  <c:v>327.5846366068202</c:v>
                </c:pt>
                <c:pt idx="47">
                  <c:v>326.42265440012284</c:v>
                </c:pt>
                <c:pt idx="48">
                  <c:v>325.24613869709418</c:v>
                </c:pt>
                <c:pt idx="49">
                  <c:v>324.0551374666087</c:v>
                </c:pt>
                <c:pt idx="50">
                  <c:v>322.84969371491525</c:v>
                </c:pt>
                <c:pt idx="51">
                  <c:v>321.62984564221324</c:v>
                </c:pt>
                <c:pt idx="52">
                  <c:v>320.39562678486885</c:v>
                </c:pt>
                <c:pt idx="53">
                  <c:v>319.14706614436699</c:v>
                </c:pt>
                <c:pt idx="54">
                  <c:v>317.88418830396824</c:v>
                </c:pt>
                <c:pt idx="55">
                  <c:v>316.60701353393506</c:v>
                </c:pt>
                <c:pt idx="56">
                  <c:v>315.31555788609256</c:v>
                </c:pt>
                <c:pt idx="57">
                  <c:v>314.00983327840652</c:v>
                </c:pt>
                <c:pt idx="58">
                  <c:v>312.68984757018308</c:v>
                </c:pt>
                <c:pt idx="59">
                  <c:v>311.35560462842835</c:v>
                </c:pt>
                <c:pt idx="60">
                  <c:v>310.00710438584207</c:v>
                </c:pt>
                <c:pt idx="61">
                  <c:v>308.64434289086722</c:v>
                </c:pt>
                <c:pt idx="62">
                  <c:v>307.26731235016462</c:v>
                </c:pt>
                <c:pt idx="63">
                  <c:v>305.87600116383771</c:v>
                </c:pt>
                <c:pt idx="64">
                  <c:v>304.47039395368893</c:v>
                </c:pt>
                <c:pt idx="65">
                  <c:v>303.05047158475344</c:v>
                </c:pt>
                <c:pt idx="66">
                  <c:v>301.61621118031599</c:v>
                </c:pt>
                <c:pt idx="67">
                  <c:v>300.16758613058937</c:v>
                </c:pt>
                <c:pt idx="68">
                  <c:v>298.70456609519607</c:v>
                </c:pt>
                <c:pt idx="69">
                  <c:v>297.2271169995692</c:v>
                </c:pt>
                <c:pt idx="70">
                  <c:v>295.73520102536111</c:v>
                </c:pt>
                <c:pt idx="71">
                  <c:v>294.22877659491888</c:v>
                </c:pt>
                <c:pt idx="72">
                  <c:v>292.70779834986376</c:v>
                </c:pt>
                <c:pt idx="73">
                  <c:v>291.172217123785</c:v>
                </c:pt>
                <c:pt idx="74">
                  <c:v>289.62197990903479</c:v>
                </c:pt>
                <c:pt idx="75">
                  <c:v>288.05702981758799</c:v>
                </c:pt>
                <c:pt idx="76">
                  <c:v>286.47730603590588</c:v>
                </c:pt>
                <c:pt idx="77">
                  <c:v>284.88274377372107</c:v>
                </c:pt>
                <c:pt idx="78">
                  <c:v>283.27327420663454</c:v>
                </c:pt>
                <c:pt idx="79">
                  <c:v>281.64882441239502</c:v>
                </c:pt>
                <c:pt idx="80">
                  <c:v>280.00931730070391</c:v>
                </c:pt>
                <c:pt idx="81">
                  <c:v>278.35467153636415</c:v>
                </c:pt>
                <c:pt idx="82">
                  <c:v>276.68480145556663</c:v>
                </c:pt>
                <c:pt idx="83">
                  <c:v>274.99961697507757</c:v>
                </c:pt>
                <c:pt idx="84">
                  <c:v>273.29902349406706</c:v>
                </c:pt>
                <c:pt idx="85">
                  <c:v>271.5829217882814</c:v>
                </c:pt>
                <c:pt idx="86">
                  <c:v>269.85120789623778</c:v>
                </c:pt>
                <c:pt idx="87">
                  <c:v>268.10377299708097</c:v>
                </c:pt>
                <c:pt idx="88">
                  <c:v>266.340503279708</c:v>
                </c:pt>
                <c:pt idx="89">
                  <c:v>264.56127980272794</c:v>
                </c:pt>
                <c:pt idx="90">
                  <c:v>262.76597834478252</c:v>
                </c:pt>
                <c:pt idx="91">
                  <c:v>260.95446924470934</c:v>
                </c:pt>
                <c:pt idx="92">
                  <c:v>259.12661723098097</c:v>
                </c:pt>
                <c:pt idx="93">
                  <c:v>257.28228123980131</c:v>
                </c:pt>
                <c:pt idx="94">
                  <c:v>255.42131422118598</c:v>
                </c:pt>
                <c:pt idx="95">
                  <c:v>253.54356293228835</c:v>
                </c:pt>
                <c:pt idx="96">
                  <c:v>251.64886771717147</c:v>
                </c:pt>
                <c:pt idx="97">
                  <c:v>249.73706227214819</c:v>
                </c:pt>
                <c:pt idx="98">
                  <c:v>247.80797339573553</c:v>
                </c:pt>
                <c:pt idx="99">
                  <c:v>245.86142072217993</c:v>
                </c:pt>
                <c:pt idx="100">
                  <c:v>243.8972164374149</c:v>
                </c:pt>
                <c:pt idx="101">
                  <c:v>241.91516497620674</c:v>
                </c:pt>
                <c:pt idx="102">
                  <c:v>239.91506269912753</c:v>
                </c:pt>
                <c:pt idx="103">
                  <c:v>237.89669754786524</c:v>
                </c:pt>
                <c:pt idx="104">
                  <c:v>235.85984867724014</c:v>
                </c:pt>
                <c:pt idx="105">
                  <c:v>233.80428606213772</c:v>
                </c:pt>
                <c:pt idx="106">
                  <c:v>231.72977007739388</c:v>
                </c:pt>
                <c:pt idx="107">
                  <c:v>229.63605104847412</c:v>
                </c:pt>
                <c:pt idx="108">
                  <c:v>227.52286877057122</c:v>
                </c:pt>
                <c:pt idx="109">
                  <c:v>225.38995199350435</c:v>
                </c:pt>
                <c:pt idx="110">
                  <c:v>223.2370178695347</c:v>
                </c:pt>
                <c:pt idx="111">
                  <c:v>221.06377136090563</c:v>
                </c:pt>
                <c:pt idx="112">
                  <c:v>218.86990460358177</c:v>
                </c:pt>
                <c:pt idx="113">
                  <c:v>216.65509622327625</c:v>
                </c:pt>
                <c:pt idx="114">
                  <c:v>214.41901059942813</c:v>
                </c:pt>
                <c:pt idx="115">
                  <c:v>212.1612970723057</c:v>
                </c:pt>
                <c:pt idx="116">
                  <c:v>209.88158908786636</c:v>
                </c:pt>
                <c:pt idx="117">
                  <c:v>207.57950327437874</c:v>
                </c:pt>
                <c:pt idx="118">
                  <c:v>205.25463844411235</c:v>
                </c:pt>
                <c:pt idx="119">
                  <c:v>202.90657451259185</c:v>
                </c:pt>
                <c:pt idx="120">
                  <c:v>200.53487132700238</c:v>
                </c:pt>
                <c:pt idx="121">
                  <c:v>198.13906739427907</c:v>
                </c:pt>
                <c:pt idx="122">
                  <c:v>195.71867849821601</c:v>
                </c:pt>
                <c:pt idx="123">
                  <c:v>193.27319619354461</c:v>
                </c:pt>
                <c:pt idx="124">
                  <c:v>190.80208616334096</c:v>
                </c:pt>
                <c:pt idx="125">
                  <c:v>188.30478642427462</c:v>
                </c:pt>
                <c:pt idx="126">
                  <c:v>185.78070536207892</c:v>
                </c:pt>
                <c:pt idx="127">
                  <c:v>183.22921957713149</c:v>
                </c:pt>
                <c:pt idx="128">
                  <c:v>180.64967151713734</c:v>
                </c:pt>
                <c:pt idx="129">
                  <c:v>178.04136687050323</c:v>
                </c:pt>
                <c:pt idx="130">
                  <c:v>175.40357169000404</c:v>
                </c:pt>
                <c:pt idx="131">
                  <c:v>172.73550921162848</c:v>
                </c:pt>
                <c:pt idx="132">
                  <c:v>170.03635632792057</c:v>
                </c:pt>
                <c:pt idx="133">
                  <c:v>167.30523966849952</c:v>
                </c:pt>
                <c:pt idx="134">
                  <c:v>164.54123123253723</c:v>
                </c:pt>
                <c:pt idx="135">
                  <c:v>161.74334350848108</c:v>
                </c:pt>
                <c:pt idx="136">
                  <c:v>158.91052400488906</c:v>
                </c:pt>
                <c:pt idx="137">
                  <c:v>156.04164910241383</c:v>
                </c:pt>
                <c:pt idx="138">
                  <c:v>153.13551712014939</c:v>
                </c:pt>
                <c:pt idx="139">
                  <c:v>150.19084046896964</c:v>
                </c:pt>
                <c:pt idx="140">
                  <c:v>147.20623673917385</c:v>
                </c:pt>
                <c:pt idx="141">
                  <c:v>144.18021853840472</c:v>
                </c:pt>
                <c:pt idx="142">
                  <c:v>141.11118185676656</c:v>
                </c:pt>
                <c:pt idx="143">
                  <c:v>137.99739268709035</c:v>
                </c:pt>
                <c:pt idx="144">
                  <c:v>134.83697156641483</c:v>
                </c:pt>
                <c:pt idx="145">
                  <c:v>131.6278756259517</c:v>
                </c:pt>
                <c:pt idx="146">
                  <c:v>128.36787763563086</c:v>
                </c:pt>
                <c:pt idx="147">
                  <c:v>125.05454139825007</c:v>
                </c:pt>
                <c:pt idx="148">
                  <c:v>121.68519267682855</c:v>
                </c:pt>
                <c:pt idx="149">
                  <c:v>118.2568846122264</c:v>
                </c:pt>
                <c:pt idx="150">
                  <c:v>114.76635628539084</c:v>
                </c:pt>
                <c:pt idx="151">
                  <c:v>111.20998266918274</c:v>
                </c:pt>
                <c:pt idx="152">
                  <c:v>107.58371365372788</c:v>
                </c:pt>
                <c:pt idx="153">
                  <c:v>103.88299904935784</c:v>
                </c:pt>
                <c:pt idx="154">
                  <c:v>100.10269536993547</c:v>
                </c:pt>
                <c:pt idx="155">
                  <c:v>96.236948617080685</c:v>
                </c:pt>
                <c:pt idx="156">
                  <c:v>92.27904496848673</c:v>
                </c:pt>
                <c:pt idx="157">
                  <c:v>88.2212178064851</c:v>
                </c:pt>
                <c:pt idx="158">
                  <c:v>84.05439421041163</c:v>
                </c:pt>
                <c:pt idx="159">
                  <c:v>79.767855673039406</c:v>
                </c:pt>
                <c:pt idx="160">
                  <c:v>75.348774224975699</c:v>
                </c:pt>
                <c:pt idx="161">
                  <c:v>70.781562320194112</c:v>
                </c:pt>
                <c:pt idx="162">
                  <c:v>66.046934834702157</c:v>
                </c:pt>
                <c:pt idx="163">
                  <c:v>61.120507974838212</c:v>
                </c:pt>
                <c:pt idx="164">
                  <c:v>55.970616576793901</c:v>
                </c:pt>
                <c:pt idx="165">
                  <c:v>50.5547315812832</c:v>
                </c:pt>
                <c:pt idx="166">
                  <c:v>44.813174595073221</c:v>
                </c:pt>
                <c:pt idx="167">
                  <c:v>38.657070080709609</c:v>
                </c:pt>
                <c:pt idx="168">
                  <c:v>31.942202187431882</c:v>
                </c:pt>
                <c:pt idx="169">
                  <c:v>24.400437610198441</c:v>
                </c:pt>
                <c:pt idx="170">
                  <c:v>15.386378763167039</c:v>
                </c:pt>
                <c:pt idx="171">
                  <c:v>0</c:v>
                </c:pt>
              </c:numCache>
            </c:numRef>
          </c:yVal>
          <c:smooth val="1"/>
        </c:ser>
        <c:ser>
          <c:idx val="1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Foglio2!$I$4:$I$175</c:f>
              <c:numCache>
                <c:formatCode>0.0</c:formatCode>
                <c:ptCount val="172"/>
                <c:pt idx="0">
                  <c:v>0</c:v>
                </c:pt>
                <c:pt idx="1">
                  <c:v>-4.7685296737477687</c:v>
                </c:pt>
                <c:pt idx="2">
                  <c:v>-9.5370593474955374</c:v>
                </c:pt>
                <c:pt idx="3">
                  <c:v>-14.305589021243307</c:v>
                </c:pt>
                <c:pt idx="4">
                  <c:v>-19.074118694991075</c:v>
                </c:pt>
                <c:pt idx="5">
                  <c:v>-23.842648368738846</c:v>
                </c:pt>
                <c:pt idx="6">
                  <c:v>-28.611178042486614</c:v>
                </c:pt>
                <c:pt idx="7">
                  <c:v>-33.379707716234385</c:v>
                </c:pt>
                <c:pt idx="8">
                  <c:v>-38.14823738998215</c:v>
                </c:pt>
                <c:pt idx="9">
                  <c:v>-42.916767063729921</c:v>
                </c:pt>
                <c:pt idx="10">
                  <c:v>-47.685296737477692</c:v>
                </c:pt>
                <c:pt idx="11">
                  <c:v>-52.453826411225457</c:v>
                </c:pt>
                <c:pt idx="12">
                  <c:v>-57.222356084973228</c:v>
                </c:pt>
                <c:pt idx="13">
                  <c:v>-61.990885758720999</c:v>
                </c:pt>
                <c:pt idx="14">
                  <c:v>-66.759415432468771</c:v>
                </c:pt>
                <c:pt idx="15">
                  <c:v>-71.527945106216535</c:v>
                </c:pt>
                <c:pt idx="16">
                  <c:v>-76.296474779964299</c:v>
                </c:pt>
                <c:pt idx="17">
                  <c:v>-81.065004453712078</c:v>
                </c:pt>
                <c:pt idx="18">
                  <c:v>-85.833534127459842</c:v>
                </c:pt>
                <c:pt idx="19">
                  <c:v>-90.602063801207606</c:v>
                </c:pt>
                <c:pt idx="20">
                  <c:v>-95.370593474955385</c:v>
                </c:pt>
                <c:pt idx="21">
                  <c:v>-100.13912314870315</c:v>
                </c:pt>
                <c:pt idx="22">
                  <c:v>-104.90765282245091</c:v>
                </c:pt>
                <c:pt idx="23">
                  <c:v>-109.67618249619869</c:v>
                </c:pt>
                <c:pt idx="24">
                  <c:v>-114.44471216994646</c:v>
                </c:pt>
                <c:pt idx="25">
                  <c:v>-119.21324184369422</c:v>
                </c:pt>
                <c:pt idx="26">
                  <c:v>-123.981771517442</c:v>
                </c:pt>
                <c:pt idx="27">
                  <c:v>-128.75030119118975</c:v>
                </c:pt>
                <c:pt idx="28">
                  <c:v>-133.51883086493754</c:v>
                </c:pt>
                <c:pt idx="29">
                  <c:v>-138.28736053868531</c:v>
                </c:pt>
                <c:pt idx="30">
                  <c:v>-143.05589021243307</c:v>
                </c:pt>
                <c:pt idx="31">
                  <c:v>-147.82441988618083</c:v>
                </c:pt>
                <c:pt idx="32">
                  <c:v>-152.5929495599286</c:v>
                </c:pt>
                <c:pt idx="33">
                  <c:v>-157.36147923367636</c:v>
                </c:pt>
                <c:pt idx="34">
                  <c:v>-162.13000890742416</c:v>
                </c:pt>
                <c:pt idx="35">
                  <c:v>-166.89853858117192</c:v>
                </c:pt>
                <c:pt idx="36">
                  <c:v>-171.66706825491968</c:v>
                </c:pt>
                <c:pt idx="37">
                  <c:v>-176.43559792866745</c:v>
                </c:pt>
                <c:pt idx="38">
                  <c:v>-181.20412760241521</c:v>
                </c:pt>
                <c:pt idx="39">
                  <c:v>-185.97265727616298</c:v>
                </c:pt>
                <c:pt idx="40">
                  <c:v>-190.74118694991077</c:v>
                </c:pt>
                <c:pt idx="41">
                  <c:v>-195.50971662365853</c:v>
                </c:pt>
                <c:pt idx="42">
                  <c:v>-200.2782462974063</c:v>
                </c:pt>
                <c:pt idx="43">
                  <c:v>-205.04677597115406</c:v>
                </c:pt>
                <c:pt idx="44">
                  <c:v>-209.81530564490183</c:v>
                </c:pt>
                <c:pt idx="45">
                  <c:v>-214.58383531864959</c:v>
                </c:pt>
                <c:pt idx="46">
                  <c:v>-219.35236499239738</c:v>
                </c:pt>
                <c:pt idx="47">
                  <c:v>-224.12089466614515</c:v>
                </c:pt>
                <c:pt idx="48">
                  <c:v>-228.88942433989291</c:v>
                </c:pt>
                <c:pt idx="49">
                  <c:v>-233.65795401364068</c:v>
                </c:pt>
                <c:pt idx="50">
                  <c:v>-238.42648368738844</c:v>
                </c:pt>
                <c:pt idx="51">
                  <c:v>-243.1950133611362</c:v>
                </c:pt>
                <c:pt idx="52">
                  <c:v>-247.963543034884</c:v>
                </c:pt>
                <c:pt idx="53">
                  <c:v>-252.73207270863176</c:v>
                </c:pt>
                <c:pt idx="54">
                  <c:v>-257.5006023823795</c:v>
                </c:pt>
                <c:pt idx="55">
                  <c:v>-262.26913205612732</c:v>
                </c:pt>
                <c:pt idx="56">
                  <c:v>-267.03766172987508</c:v>
                </c:pt>
                <c:pt idx="57">
                  <c:v>-271.80619140362285</c:v>
                </c:pt>
                <c:pt idx="58">
                  <c:v>-276.57472107737061</c:v>
                </c:pt>
                <c:pt idx="59">
                  <c:v>-281.34325075111838</c:v>
                </c:pt>
                <c:pt idx="60">
                  <c:v>-286.11178042486614</c:v>
                </c:pt>
                <c:pt idx="61">
                  <c:v>-290.8803100986139</c:v>
                </c:pt>
                <c:pt idx="62">
                  <c:v>-295.64883977236167</c:v>
                </c:pt>
                <c:pt idx="63">
                  <c:v>-300.41736944610943</c:v>
                </c:pt>
                <c:pt idx="64">
                  <c:v>-305.1858991198572</c:v>
                </c:pt>
                <c:pt idx="65">
                  <c:v>-309.95442879360496</c:v>
                </c:pt>
                <c:pt idx="66">
                  <c:v>-314.72295846735273</c:v>
                </c:pt>
                <c:pt idx="67">
                  <c:v>-319.49148814110055</c:v>
                </c:pt>
                <c:pt idx="68">
                  <c:v>-324.26001781484831</c:v>
                </c:pt>
                <c:pt idx="69">
                  <c:v>-329.02854748859608</c:v>
                </c:pt>
                <c:pt idx="70">
                  <c:v>-333.79707716234384</c:v>
                </c:pt>
                <c:pt idx="71">
                  <c:v>-338.5656068360916</c:v>
                </c:pt>
                <c:pt idx="72">
                  <c:v>-343.33413650983937</c:v>
                </c:pt>
                <c:pt idx="73">
                  <c:v>-348.10266618358713</c:v>
                </c:pt>
                <c:pt idx="74">
                  <c:v>-352.8711958573349</c:v>
                </c:pt>
                <c:pt idx="75">
                  <c:v>-357.63972553108266</c:v>
                </c:pt>
                <c:pt idx="76">
                  <c:v>-362.40825520483043</c:v>
                </c:pt>
                <c:pt idx="77">
                  <c:v>-367.17678487857819</c:v>
                </c:pt>
                <c:pt idx="78">
                  <c:v>-371.94531455232595</c:v>
                </c:pt>
                <c:pt idx="79">
                  <c:v>-376.71384422607377</c:v>
                </c:pt>
                <c:pt idx="80">
                  <c:v>-381.48237389982154</c:v>
                </c:pt>
                <c:pt idx="81">
                  <c:v>-386.2509035735693</c:v>
                </c:pt>
                <c:pt idx="82">
                  <c:v>-391.01943324731707</c:v>
                </c:pt>
                <c:pt idx="83">
                  <c:v>-395.78796292106483</c:v>
                </c:pt>
                <c:pt idx="84">
                  <c:v>-400.5564925948126</c:v>
                </c:pt>
                <c:pt idx="85">
                  <c:v>-405.32502226856036</c:v>
                </c:pt>
                <c:pt idx="86">
                  <c:v>-410.09355194230812</c:v>
                </c:pt>
                <c:pt idx="87">
                  <c:v>-414.86208161605595</c:v>
                </c:pt>
                <c:pt idx="88">
                  <c:v>-419.63061128980365</c:v>
                </c:pt>
                <c:pt idx="89">
                  <c:v>-424.39914096355147</c:v>
                </c:pt>
                <c:pt idx="90">
                  <c:v>-429.16767063729918</c:v>
                </c:pt>
                <c:pt idx="91">
                  <c:v>-433.936200311047</c:v>
                </c:pt>
                <c:pt idx="92">
                  <c:v>-438.70472998479477</c:v>
                </c:pt>
                <c:pt idx="93">
                  <c:v>-443.47325965854259</c:v>
                </c:pt>
                <c:pt idx="94">
                  <c:v>-448.2417893322903</c:v>
                </c:pt>
                <c:pt idx="95">
                  <c:v>-453.01031900603812</c:v>
                </c:pt>
                <c:pt idx="96">
                  <c:v>-457.77884867978582</c:v>
                </c:pt>
                <c:pt idx="97">
                  <c:v>-462.54737835353365</c:v>
                </c:pt>
                <c:pt idx="98">
                  <c:v>-467.31590802728135</c:v>
                </c:pt>
                <c:pt idx="99">
                  <c:v>-472.08443770102917</c:v>
                </c:pt>
                <c:pt idx="100">
                  <c:v>-476.85296737477688</c:v>
                </c:pt>
                <c:pt idx="101">
                  <c:v>-481.6214970485247</c:v>
                </c:pt>
                <c:pt idx="102">
                  <c:v>-486.39002672227241</c:v>
                </c:pt>
                <c:pt idx="103">
                  <c:v>-491.15855639602023</c:v>
                </c:pt>
                <c:pt idx="104">
                  <c:v>-495.927086069768</c:v>
                </c:pt>
                <c:pt idx="105">
                  <c:v>-500.69561574351582</c:v>
                </c:pt>
                <c:pt idx="106">
                  <c:v>-505.46414541726352</c:v>
                </c:pt>
                <c:pt idx="107">
                  <c:v>-510.23267509101134</c:v>
                </c:pt>
                <c:pt idx="108">
                  <c:v>-515.001204764759</c:v>
                </c:pt>
                <c:pt idx="109">
                  <c:v>-519.76973443850682</c:v>
                </c:pt>
                <c:pt idx="110">
                  <c:v>-524.53826411225464</c:v>
                </c:pt>
                <c:pt idx="111">
                  <c:v>-529.30679378600246</c:v>
                </c:pt>
                <c:pt idx="112">
                  <c:v>-534.07532345975017</c:v>
                </c:pt>
                <c:pt idx="113">
                  <c:v>-538.84385313349799</c:v>
                </c:pt>
                <c:pt idx="114">
                  <c:v>-543.61238280724569</c:v>
                </c:pt>
                <c:pt idx="115">
                  <c:v>-548.38091248099352</c:v>
                </c:pt>
                <c:pt idx="116">
                  <c:v>-553.14944215474122</c:v>
                </c:pt>
                <c:pt idx="117">
                  <c:v>-557.91797182848904</c:v>
                </c:pt>
                <c:pt idx="118">
                  <c:v>-562.68650150223675</c:v>
                </c:pt>
                <c:pt idx="119">
                  <c:v>-567.45503117598457</c:v>
                </c:pt>
                <c:pt idx="120">
                  <c:v>-572.22356084973228</c:v>
                </c:pt>
                <c:pt idx="121">
                  <c:v>-576.9920905234801</c:v>
                </c:pt>
                <c:pt idx="122">
                  <c:v>-581.76062019722781</c:v>
                </c:pt>
                <c:pt idx="123">
                  <c:v>-586.52914987097563</c:v>
                </c:pt>
                <c:pt idx="124">
                  <c:v>-591.29767954472334</c:v>
                </c:pt>
                <c:pt idx="125">
                  <c:v>-596.06620921847116</c:v>
                </c:pt>
                <c:pt idx="126">
                  <c:v>-600.83473889221887</c:v>
                </c:pt>
                <c:pt idx="127">
                  <c:v>-605.60326856596669</c:v>
                </c:pt>
                <c:pt idx="128">
                  <c:v>-610.37179823971439</c:v>
                </c:pt>
                <c:pt idx="129">
                  <c:v>-615.14032791346222</c:v>
                </c:pt>
                <c:pt idx="130">
                  <c:v>-619.90885758720992</c:v>
                </c:pt>
                <c:pt idx="131">
                  <c:v>-624.67738726095774</c:v>
                </c:pt>
                <c:pt idx="132">
                  <c:v>-629.44591693470545</c:v>
                </c:pt>
                <c:pt idx="133">
                  <c:v>-634.21444660845327</c:v>
                </c:pt>
                <c:pt idx="134">
                  <c:v>-638.98297628220109</c:v>
                </c:pt>
                <c:pt idx="135">
                  <c:v>-643.75150595594891</c:v>
                </c:pt>
                <c:pt idx="136">
                  <c:v>-648.52003562969662</c:v>
                </c:pt>
                <c:pt idx="137">
                  <c:v>-653.28856530344444</c:v>
                </c:pt>
                <c:pt idx="138">
                  <c:v>-658.05709497719215</c:v>
                </c:pt>
                <c:pt idx="139">
                  <c:v>-662.82562465093997</c:v>
                </c:pt>
                <c:pt idx="140">
                  <c:v>-667.59415432468768</c:v>
                </c:pt>
                <c:pt idx="141">
                  <c:v>-672.3626839984355</c:v>
                </c:pt>
                <c:pt idx="142">
                  <c:v>-677.13121367218321</c:v>
                </c:pt>
                <c:pt idx="143">
                  <c:v>-681.89974334593103</c:v>
                </c:pt>
                <c:pt idx="144">
                  <c:v>-686.66827301967874</c:v>
                </c:pt>
                <c:pt idx="145">
                  <c:v>-691.43680269342656</c:v>
                </c:pt>
                <c:pt idx="146">
                  <c:v>-696.20533236717426</c:v>
                </c:pt>
                <c:pt idx="147">
                  <c:v>-700.97386204092209</c:v>
                </c:pt>
                <c:pt idx="148">
                  <c:v>-705.74239171466979</c:v>
                </c:pt>
                <c:pt idx="149">
                  <c:v>-710.51092138841761</c:v>
                </c:pt>
                <c:pt idx="150">
                  <c:v>-715.27945106216532</c:v>
                </c:pt>
                <c:pt idx="151">
                  <c:v>-720.04798073591314</c:v>
                </c:pt>
                <c:pt idx="152">
                  <c:v>-724.81651040966085</c:v>
                </c:pt>
                <c:pt idx="153">
                  <c:v>-729.58504008340867</c:v>
                </c:pt>
                <c:pt idx="154">
                  <c:v>-734.35356975715638</c:v>
                </c:pt>
                <c:pt idx="155">
                  <c:v>-739.1220994309042</c:v>
                </c:pt>
                <c:pt idx="156">
                  <c:v>-743.89062910465191</c:v>
                </c:pt>
                <c:pt idx="157">
                  <c:v>-748.65915877839973</c:v>
                </c:pt>
                <c:pt idx="158">
                  <c:v>-753.42768845214755</c:v>
                </c:pt>
                <c:pt idx="159">
                  <c:v>-758.19621812589537</c:v>
                </c:pt>
                <c:pt idx="160">
                  <c:v>-762.96474779964308</c:v>
                </c:pt>
                <c:pt idx="161">
                  <c:v>-767.7332774733909</c:v>
                </c:pt>
                <c:pt idx="162">
                  <c:v>-772.50180714713861</c:v>
                </c:pt>
                <c:pt idx="163">
                  <c:v>-777.27033682088643</c:v>
                </c:pt>
                <c:pt idx="164">
                  <c:v>-782.03886649463414</c:v>
                </c:pt>
                <c:pt idx="165">
                  <c:v>-786.80739616838196</c:v>
                </c:pt>
                <c:pt idx="166">
                  <c:v>-791.57592584212966</c:v>
                </c:pt>
                <c:pt idx="167">
                  <c:v>-796.34445551587748</c:v>
                </c:pt>
                <c:pt idx="168">
                  <c:v>-801.11298518962519</c:v>
                </c:pt>
                <c:pt idx="169">
                  <c:v>-805.88151486337301</c:v>
                </c:pt>
                <c:pt idx="170">
                  <c:v>-810.65004453712072</c:v>
                </c:pt>
                <c:pt idx="171">
                  <c:v>-815.41857421086854</c:v>
                </c:pt>
              </c:numCache>
            </c:numRef>
          </c:xVal>
          <c:yVal>
            <c:numRef>
              <c:f>Foglio2!$J$4:$J$175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361.993543877891</c:v>
                </c:pt>
                <c:pt idx="2">
                  <c:v>361.79609869293654</c:v>
                </c:pt>
                <c:pt idx="3">
                  <c:v>361.54033657577315</c:v>
                </c:pt>
                <c:pt idx="4">
                  <c:v>361.23734740335658</c:v>
                </c:pt>
                <c:pt idx="5">
                  <c:v>360.89351986487043</c:v>
                </c:pt>
                <c:pt idx="6">
                  <c:v>360.51314851630991</c:v>
                </c:pt>
                <c:pt idx="7">
                  <c:v>360.09937288800376</c:v>
                </c:pt>
                <c:pt idx="8">
                  <c:v>359.65461420974276</c:v>
                </c:pt>
                <c:pt idx="9">
                  <c:v>359.18081055455207</c:v>
                </c:pt>
                <c:pt idx="10">
                  <c:v>358.67955638366533</c:v>
                </c:pt>
                <c:pt idx="11">
                  <c:v>358.15219136030549</c:v>
                </c:pt>
                <c:pt idx="12">
                  <c:v>357.59985995070707</c:v>
                </c:pt>
                <c:pt idx="13">
                  <c:v>357.0235531205056</c:v>
                </c:pt>
                <c:pt idx="14">
                  <c:v>356.4241385019414</c:v>
                </c:pt>
                <c:pt idx="15">
                  <c:v>355.80238283327202</c:v>
                </c:pt>
                <c:pt idx="16">
                  <c:v>355.15896904305589</c:v>
                </c:pt>
                <c:pt idx="17">
                  <c:v>354.49450951775077</c:v>
                </c:pt>
                <c:pt idx="18">
                  <c:v>353.80955658290424</c:v>
                </c:pt>
                <c:pt idx="19">
                  <c:v>353.10461090730041</c:v>
                </c:pt>
                <c:pt idx="20">
                  <c:v>352.38012833037726</c:v>
                </c:pt>
                <c:pt idx="21">
                  <c:v>351.63652547332322</c:v>
                </c:pt>
                <c:pt idx="22">
                  <c:v>350.87418439837086</c:v>
                </c:pt>
                <c:pt idx="23">
                  <c:v>350.09345651368761</c:v>
                </c:pt>
                <c:pt idx="24">
                  <c:v>349.29466587339016</c:v>
                </c:pt>
                <c:pt idx="25">
                  <c:v>348.47811198748059</c:v>
                </c:pt>
                <c:pt idx="26">
                  <c:v>347.64407223092343</c:v>
                </c:pt>
                <c:pt idx="27">
                  <c:v>346.79280392197461</c:v>
                </c:pt>
                <c:pt idx="28">
                  <c:v>345.92454612542446</c:v>
                </c:pt>
                <c:pt idx="29">
                  <c:v>345.03952122535645</c:v>
                </c:pt>
                <c:pt idx="30">
                  <c:v>344.13793630347084</c:v>
                </c:pt>
                <c:pt idx="31">
                  <c:v>343.21998435234212</c:v>
                </c:pt>
                <c:pt idx="32">
                  <c:v>342.28584534771159</c:v>
                </c:pt>
                <c:pt idx="33">
                  <c:v>341.33568719973215</c:v>
                </c:pt>
                <c:pt idx="34">
                  <c:v>340.36966659972626</c:v>
                </c:pt>
                <c:pt idx="35">
                  <c:v>339.38792977631209</c:v>
                </c:pt>
                <c:pt idx="36">
                  <c:v>338.3906131725509</c:v>
                </c:pt>
                <c:pt idx="37">
                  <c:v>337.37784405397099</c:v>
                </c:pt>
                <c:pt idx="38">
                  <c:v>336.34974105583876</c:v>
                </c:pt>
                <c:pt idx="39">
                  <c:v>335.30641467682443</c:v>
                </c:pt>
                <c:pt idx="40">
                  <c:v>334.24796772518727</c:v>
                </c:pt>
                <c:pt idx="41">
                  <c:v>333.17449572275177</c:v>
                </c:pt>
                <c:pt idx="42">
                  <c:v>332.08608727122913</c:v>
                </c:pt>
                <c:pt idx="43">
                  <c:v>330.98282438483085</c:v>
                </c:pt>
                <c:pt idx="44">
                  <c:v>329.86478279260945</c:v>
                </c:pt>
                <c:pt idx="45">
                  <c:v>328.73203221351918</c:v>
                </c:pt>
                <c:pt idx="46">
                  <c:v>327.5846366068202</c:v>
                </c:pt>
                <c:pt idx="47">
                  <c:v>326.42265440012284</c:v>
                </c:pt>
                <c:pt idx="48">
                  <c:v>325.24613869709418</c:v>
                </c:pt>
                <c:pt idx="49">
                  <c:v>324.0551374666087</c:v>
                </c:pt>
                <c:pt idx="50">
                  <c:v>322.84969371491525</c:v>
                </c:pt>
                <c:pt idx="51">
                  <c:v>321.62984564221324</c:v>
                </c:pt>
                <c:pt idx="52">
                  <c:v>320.39562678486885</c:v>
                </c:pt>
                <c:pt idx="53">
                  <c:v>319.14706614436699</c:v>
                </c:pt>
                <c:pt idx="54">
                  <c:v>317.88418830396824</c:v>
                </c:pt>
                <c:pt idx="55">
                  <c:v>316.60701353393506</c:v>
                </c:pt>
                <c:pt idx="56">
                  <c:v>315.31555788609256</c:v>
                </c:pt>
                <c:pt idx="57">
                  <c:v>314.00983327840652</c:v>
                </c:pt>
                <c:pt idx="58">
                  <c:v>312.68984757018308</c:v>
                </c:pt>
                <c:pt idx="59">
                  <c:v>311.35560462842835</c:v>
                </c:pt>
                <c:pt idx="60">
                  <c:v>310.00710438584207</c:v>
                </c:pt>
                <c:pt idx="61">
                  <c:v>308.64434289086722</c:v>
                </c:pt>
                <c:pt idx="62">
                  <c:v>307.26731235016462</c:v>
                </c:pt>
                <c:pt idx="63">
                  <c:v>305.87600116383771</c:v>
                </c:pt>
                <c:pt idx="64">
                  <c:v>304.47039395368893</c:v>
                </c:pt>
                <c:pt idx="65">
                  <c:v>303.05047158475344</c:v>
                </c:pt>
                <c:pt idx="66">
                  <c:v>301.61621118031599</c:v>
                </c:pt>
                <c:pt idx="67">
                  <c:v>300.16758613058937</c:v>
                </c:pt>
                <c:pt idx="68">
                  <c:v>298.70456609519607</c:v>
                </c:pt>
                <c:pt idx="69">
                  <c:v>297.2271169995692</c:v>
                </c:pt>
                <c:pt idx="70">
                  <c:v>295.73520102536111</c:v>
                </c:pt>
                <c:pt idx="71">
                  <c:v>294.22877659491888</c:v>
                </c:pt>
                <c:pt idx="72">
                  <c:v>292.70779834986376</c:v>
                </c:pt>
                <c:pt idx="73">
                  <c:v>291.172217123785</c:v>
                </c:pt>
                <c:pt idx="74">
                  <c:v>289.62197990903479</c:v>
                </c:pt>
                <c:pt idx="75">
                  <c:v>288.05702981758799</c:v>
                </c:pt>
                <c:pt idx="76">
                  <c:v>286.47730603590588</c:v>
                </c:pt>
                <c:pt idx="77">
                  <c:v>284.88274377372107</c:v>
                </c:pt>
                <c:pt idx="78">
                  <c:v>283.27327420663454</c:v>
                </c:pt>
                <c:pt idx="79">
                  <c:v>281.64882441239502</c:v>
                </c:pt>
                <c:pt idx="80">
                  <c:v>280.00931730070391</c:v>
                </c:pt>
                <c:pt idx="81">
                  <c:v>278.35467153636415</c:v>
                </c:pt>
                <c:pt idx="82">
                  <c:v>276.68480145556663</c:v>
                </c:pt>
                <c:pt idx="83">
                  <c:v>274.99961697507757</c:v>
                </c:pt>
                <c:pt idx="84">
                  <c:v>273.29902349406706</c:v>
                </c:pt>
                <c:pt idx="85">
                  <c:v>271.5829217882814</c:v>
                </c:pt>
                <c:pt idx="86">
                  <c:v>269.85120789623778</c:v>
                </c:pt>
                <c:pt idx="87">
                  <c:v>268.10377299708097</c:v>
                </c:pt>
                <c:pt idx="88">
                  <c:v>266.340503279708</c:v>
                </c:pt>
                <c:pt idx="89">
                  <c:v>264.56127980272794</c:v>
                </c:pt>
                <c:pt idx="90">
                  <c:v>262.76597834478252</c:v>
                </c:pt>
                <c:pt idx="91">
                  <c:v>260.95446924470934</c:v>
                </c:pt>
                <c:pt idx="92">
                  <c:v>259.12661723098097</c:v>
                </c:pt>
                <c:pt idx="93">
                  <c:v>257.28228123980131</c:v>
                </c:pt>
                <c:pt idx="94">
                  <c:v>255.42131422118598</c:v>
                </c:pt>
                <c:pt idx="95">
                  <c:v>253.54356293228835</c:v>
                </c:pt>
                <c:pt idx="96">
                  <c:v>251.64886771717147</c:v>
                </c:pt>
                <c:pt idx="97">
                  <c:v>249.73706227214819</c:v>
                </c:pt>
                <c:pt idx="98">
                  <c:v>247.80797339573553</c:v>
                </c:pt>
                <c:pt idx="99">
                  <c:v>245.86142072217993</c:v>
                </c:pt>
                <c:pt idx="100">
                  <c:v>243.8972164374149</c:v>
                </c:pt>
                <c:pt idx="101">
                  <c:v>241.91516497620674</c:v>
                </c:pt>
                <c:pt idx="102">
                  <c:v>239.91506269912753</c:v>
                </c:pt>
                <c:pt idx="103">
                  <c:v>237.89669754786524</c:v>
                </c:pt>
                <c:pt idx="104">
                  <c:v>235.85984867724014</c:v>
                </c:pt>
                <c:pt idx="105">
                  <c:v>233.80428606213772</c:v>
                </c:pt>
                <c:pt idx="106">
                  <c:v>231.72977007739388</c:v>
                </c:pt>
                <c:pt idx="107">
                  <c:v>229.63605104847412</c:v>
                </c:pt>
                <c:pt idx="108">
                  <c:v>227.52286877057122</c:v>
                </c:pt>
                <c:pt idx="109">
                  <c:v>225.38995199350435</c:v>
                </c:pt>
                <c:pt idx="110">
                  <c:v>223.2370178695347</c:v>
                </c:pt>
                <c:pt idx="111">
                  <c:v>221.06377136090563</c:v>
                </c:pt>
                <c:pt idx="112">
                  <c:v>218.86990460358177</c:v>
                </c:pt>
                <c:pt idx="113">
                  <c:v>216.65509622327625</c:v>
                </c:pt>
                <c:pt idx="114">
                  <c:v>214.41901059942813</c:v>
                </c:pt>
                <c:pt idx="115">
                  <c:v>212.1612970723057</c:v>
                </c:pt>
                <c:pt idx="116">
                  <c:v>209.88158908786636</c:v>
                </c:pt>
                <c:pt idx="117">
                  <c:v>207.57950327437874</c:v>
                </c:pt>
                <c:pt idx="118">
                  <c:v>205.25463844411235</c:v>
                </c:pt>
                <c:pt idx="119">
                  <c:v>202.90657451259185</c:v>
                </c:pt>
                <c:pt idx="120">
                  <c:v>200.53487132700238</c:v>
                </c:pt>
                <c:pt idx="121">
                  <c:v>198.13906739427907</c:v>
                </c:pt>
                <c:pt idx="122">
                  <c:v>195.71867849821601</c:v>
                </c:pt>
                <c:pt idx="123">
                  <c:v>193.27319619354461</c:v>
                </c:pt>
                <c:pt idx="124">
                  <c:v>190.80208616334096</c:v>
                </c:pt>
                <c:pt idx="125">
                  <c:v>188.30478642427462</c:v>
                </c:pt>
                <c:pt idx="126">
                  <c:v>185.78070536207892</c:v>
                </c:pt>
                <c:pt idx="127">
                  <c:v>183.22921957713149</c:v>
                </c:pt>
                <c:pt idx="128">
                  <c:v>180.64967151713734</c:v>
                </c:pt>
                <c:pt idx="129">
                  <c:v>178.04136687050323</c:v>
                </c:pt>
                <c:pt idx="130">
                  <c:v>175.40357169000404</c:v>
                </c:pt>
                <c:pt idx="131">
                  <c:v>172.73550921162848</c:v>
                </c:pt>
                <c:pt idx="132">
                  <c:v>170.03635632792057</c:v>
                </c:pt>
                <c:pt idx="133">
                  <c:v>167.30523966849952</c:v>
                </c:pt>
                <c:pt idx="134">
                  <c:v>164.54123123253723</c:v>
                </c:pt>
                <c:pt idx="135">
                  <c:v>161.74334350848108</c:v>
                </c:pt>
                <c:pt idx="136">
                  <c:v>158.91052400488906</c:v>
                </c:pt>
                <c:pt idx="137">
                  <c:v>156.04164910241383</c:v>
                </c:pt>
                <c:pt idx="138">
                  <c:v>153.13551712014939</c:v>
                </c:pt>
                <c:pt idx="139">
                  <c:v>150.19084046896964</c:v>
                </c:pt>
                <c:pt idx="140">
                  <c:v>147.20623673917385</c:v>
                </c:pt>
                <c:pt idx="141">
                  <c:v>144.18021853840472</c:v>
                </c:pt>
                <c:pt idx="142">
                  <c:v>141.11118185676656</c:v>
                </c:pt>
                <c:pt idx="143">
                  <c:v>137.99739268709035</c:v>
                </c:pt>
                <c:pt idx="144">
                  <c:v>134.83697156641483</c:v>
                </c:pt>
                <c:pt idx="145">
                  <c:v>131.6278756259517</c:v>
                </c:pt>
                <c:pt idx="146">
                  <c:v>128.36787763563086</c:v>
                </c:pt>
                <c:pt idx="147">
                  <c:v>125.05454139825007</c:v>
                </c:pt>
                <c:pt idx="148">
                  <c:v>121.68519267682855</c:v>
                </c:pt>
                <c:pt idx="149">
                  <c:v>118.2568846122264</c:v>
                </c:pt>
                <c:pt idx="150">
                  <c:v>114.76635628539084</c:v>
                </c:pt>
                <c:pt idx="151">
                  <c:v>111.20998266918274</c:v>
                </c:pt>
                <c:pt idx="152">
                  <c:v>107.58371365372788</c:v>
                </c:pt>
                <c:pt idx="153">
                  <c:v>103.88299904935784</c:v>
                </c:pt>
                <c:pt idx="154">
                  <c:v>100.10269536993547</c:v>
                </c:pt>
                <c:pt idx="155">
                  <c:v>96.236948617080685</c:v>
                </c:pt>
                <c:pt idx="156">
                  <c:v>92.27904496848673</c:v>
                </c:pt>
                <c:pt idx="157">
                  <c:v>88.2212178064851</c:v>
                </c:pt>
                <c:pt idx="158">
                  <c:v>84.05439421041163</c:v>
                </c:pt>
                <c:pt idx="159">
                  <c:v>79.767855673039406</c:v>
                </c:pt>
                <c:pt idx="160">
                  <c:v>75.348774224975699</c:v>
                </c:pt>
                <c:pt idx="161">
                  <c:v>70.781562320194112</c:v>
                </c:pt>
                <c:pt idx="162">
                  <c:v>66.046934834702157</c:v>
                </c:pt>
                <c:pt idx="163">
                  <c:v>61.120507974838212</c:v>
                </c:pt>
                <c:pt idx="164">
                  <c:v>55.970616576793901</c:v>
                </c:pt>
                <c:pt idx="165">
                  <c:v>50.5547315812832</c:v>
                </c:pt>
                <c:pt idx="166">
                  <c:v>44.813174595073221</c:v>
                </c:pt>
                <c:pt idx="167">
                  <c:v>38.657070080709609</c:v>
                </c:pt>
                <c:pt idx="168">
                  <c:v>31.942202187431882</c:v>
                </c:pt>
                <c:pt idx="169">
                  <c:v>24.400437610198441</c:v>
                </c:pt>
                <c:pt idx="170">
                  <c:v>15.386378763167039</c:v>
                </c:pt>
                <c:pt idx="17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Dominio ridotto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Foglio2!$K$4:$K$175</c:f>
              <c:numCache>
                <c:formatCode>0.0</c:formatCode>
                <c:ptCount val="172"/>
                <c:pt idx="0">
                  <c:v>0</c:v>
                </c:pt>
                <c:pt idx="1">
                  <c:v>-4.7685296737477687</c:v>
                </c:pt>
                <c:pt idx="2">
                  <c:v>-9.5370593474955374</c:v>
                </c:pt>
                <c:pt idx="3">
                  <c:v>-14.305589021243307</c:v>
                </c:pt>
                <c:pt idx="4">
                  <c:v>-19.074118694991075</c:v>
                </c:pt>
                <c:pt idx="5">
                  <c:v>-23.842648368738846</c:v>
                </c:pt>
                <c:pt idx="6">
                  <c:v>-28.611178042486614</c:v>
                </c:pt>
                <c:pt idx="7">
                  <c:v>-33.379707716234385</c:v>
                </c:pt>
                <c:pt idx="8">
                  <c:v>-38.14823738998215</c:v>
                </c:pt>
                <c:pt idx="9">
                  <c:v>-42.916767063729921</c:v>
                </c:pt>
                <c:pt idx="10">
                  <c:v>-47.685296737477692</c:v>
                </c:pt>
                <c:pt idx="11">
                  <c:v>-52.453826411225457</c:v>
                </c:pt>
                <c:pt idx="12">
                  <c:v>-57.222356084973228</c:v>
                </c:pt>
                <c:pt idx="13">
                  <c:v>-61.990885758720999</c:v>
                </c:pt>
                <c:pt idx="14">
                  <c:v>-66.759415432468771</c:v>
                </c:pt>
                <c:pt idx="15">
                  <c:v>-71.527945106216535</c:v>
                </c:pt>
                <c:pt idx="16">
                  <c:v>-76.296474779964299</c:v>
                </c:pt>
                <c:pt idx="17">
                  <c:v>-81.065004453712078</c:v>
                </c:pt>
                <c:pt idx="18">
                  <c:v>-85.833534127459842</c:v>
                </c:pt>
                <c:pt idx="19">
                  <c:v>-90.602063801207606</c:v>
                </c:pt>
                <c:pt idx="20">
                  <c:v>-95.370593474955385</c:v>
                </c:pt>
                <c:pt idx="21">
                  <c:v>-100.13912314870315</c:v>
                </c:pt>
                <c:pt idx="22">
                  <c:v>-104.90765282245091</c:v>
                </c:pt>
                <c:pt idx="23">
                  <c:v>-109.67618249619869</c:v>
                </c:pt>
                <c:pt idx="24">
                  <c:v>-114.44471216994646</c:v>
                </c:pt>
                <c:pt idx="25">
                  <c:v>-119.21324184369422</c:v>
                </c:pt>
                <c:pt idx="26">
                  <c:v>-123.981771517442</c:v>
                </c:pt>
                <c:pt idx="27">
                  <c:v>-128.75030119118975</c:v>
                </c:pt>
                <c:pt idx="28">
                  <c:v>-133.51883086493754</c:v>
                </c:pt>
                <c:pt idx="29">
                  <c:v>-138.28736053868531</c:v>
                </c:pt>
                <c:pt idx="30">
                  <c:v>-143.05589021243307</c:v>
                </c:pt>
                <c:pt idx="31">
                  <c:v>-147.82441988618083</c:v>
                </c:pt>
                <c:pt idx="32">
                  <c:v>-152.5929495599286</c:v>
                </c:pt>
                <c:pt idx="33">
                  <c:v>-157.36147923367636</c:v>
                </c:pt>
                <c:pt idx="34">
                  <c:v>-162.13000890742416</c:v>
                </c:pt>
                <c:pt idx="35">
                  <c:v>-166.89853858117192</c:v>
                </c:pt>
                <c:pt idx="36">
                  <c:v>-171.66706825491968</c:v>
                </c:pt>
                <c:pt idx="37">
                  <c:v>-176.43559792866745</c:v>
                </c:pt>
                <c:pt idx="38">
                  <c:v>-181.20412760241521</c:v>
                </c:pt>
                <c:pt idx="39">
                  <c:v>-185.97265727616298</c:v>
                </c:pt>
                <c:pt idx="40">
                  <c:v>-190.74118694991077</c:v>
                </c:pt>
                <c:pt idx="41">
                  <c:v>-195.50971662365853</c:v>
                </c:pt>
                <c:pt idx="42">
                  <c:v>-200.2782462974063</c:v>
                </c:pt>
                <c:pt idx="43">
                  <c:v>-205.04677597115406</c:v>
                </c:pt>
                <c:pt idx="44">
                  <c:v>-209.81530564490183</c:v>
                </c:pt>
                <c:pt idx="45">
                  <c:v>-214.58383531864959</c:v>
                </c:pt>
                <c:pt idx="46">
                  <c:v>-219.35236499239738</c:v>
                </c:pt>
                <c:pt idx="47">
                  <c:v>-224.12089466614515</c:v>
                </c:pt>
                <c:pt idx="48">
                  <c:v>-228.88942433989291</c:v>
                </c:pt>
                <c:pt idx="49">
                  <c:v>-233.65795401364068</c:v>
                </c:pt>
                <c:pt idx="50">
                  <c:v>-238.42648368738844</c:v>
                </c:pt>
                <c:pt idx="51">
                  <c:v>-243.1950133611362</c:v>
                </c:pt>
                <c:pt idx="52">
                  <c:v>-247.963543034884</c:v>
                </c:pt>
                <c:pt idx="53">
                  <c:v>-252.73207270863176</c:v>
                </c:pt>
                <c:pt idx="54">
                  <c:v>-257.5006023823795</c:v>
                </c:pt>
                <c:pt idx="55">
                  <c:v>-262.26913205612732</c:v>
                </c:pt>
                <c:pt idx="56">
                  <c:v>-267.03766172987508</c:v>
                </c:pt>
                <c:pt idx="57">
                  <c:v>-271.80619140362285</c:v>
                </c:pt>
                <c:pt idx="58">
                  <c:v>-276.57472107737061</c:v>
                </c:pt>
                <c:pt idx="59">
                  <c:v>-281.34325075111838</c:v>
                </c:pt>
                <c:pt idx="60">
                  <c:v>-286.11178042486614</c:v>
                </c:pt>
                <c:pt idx="61">
                  <c:v>-290.8803100986139</c:v>
                </c:pt>
                <c:pt idx="62">
                  <c:v>-295.64883977236167</c:v>
                </c:pt>
                <c:pt idx="63">
                  <c:v>-300.41736944610943</c:v>
                </c:pt>
                <c:pt idx="64">
                  <c:v>-305.1858991198572</c:v>
                </c:pt>
                <c:pt idx="65">
                  <c:v>-309.95442879360496</c:v>
                </c:pt>
                <c:pt idx="66">
                  <c:v>-314.72295846735273</c:v>
                </c:pt>
                <c:pt idx="67">
                  <c:v>-319.49148814110055</c:v>
                </c:pt>
                <c:pt idx="68">
                  <c:v>-324.26001781484831</c:v>
                </c:pt>
                <c:pt idx="69">
                  <c:v>-329.02854748859608</c:v>
                </c:pt>
                <c:pt idx="70">
                  <c:v>-333.79707716234384</c:v>
                </c:pt>
                <c:pt idx="71">
                  <c:v>-338.5656068360916</c:v>
                </c:pt>
                <c:pt idx="72">
                  <c:v>-343.33413650983937</c:v>
                </c:pt>
                <c:pt idx="73">
                  <c:v>-348.10266618358713</c:v>
                </c:pt>
                <c:pt idx="74">
                  <c:v>-352.8711958573349</c:v>
                </c:pt>
                <c:pt idx="75">
                  <c:v>-357.63972553108266</c:v>
                </c:pt>
                <c:pt idx="76">
                  <c:v>-362.40825520483043</c:v>
                </c:pt>
                <c:pt idx="77">
                  <c:v>-367.17678487857819</c:v>
                </c:pt>
                <c:pt idx="78">
                  <c:v>-371.94531455232595</c:v>
                </c:pt>
                <c:pt idx="79">
                  <c:v>-376.71384422607377</c:v>
                </c:pt>
                <c:pt idx="80">
                  <c:v>-381.48237389982154</c:v>
                </c:pt>
                <c:pt idx="81">
                  <c:v>-386.2509035735693</c:v>
                </c:pt>
                <c:pt idx="82">
                  <c:v>-391.01943324731707</c:v>
                </c:pt>
                <c:pt idx="83">
                  <c:v>-395.78796292106483</c:v>
                </c:pt>
                <c:pt idx="84">
                  <c:v>-400.5564925948126</c:v>
                </c:pt>
                <c:pt idx="85">
                  <c:v>-405.32502226856036</c:v>
                </c:pt>
                <c:pt idx="86">
                  <c:v>-410.09355194230812</c:v>
                </c:pt>
                <c:pt idx="87">
                  <c:v>-414.86208161605595</c:v>
                </c:pt>
                <c:pt idx="88">
                  <c:v>-419.63061128980365</c:v>
                </c:pt>
                <c:pt idx="89">
                  <c:v>-424.39914096355147</c:v>
                </c:pt>
                <c:pt idx="90">
                  <c:v>-429.16767063729918</c:v>
                </c:pt>
                <c:pt idx="91">
                  <c:v>-433.936200311047</c:v>
                </c:pt>
                <c:pt idx="92">
                  <c:v>-438.70472998479477</c:v>
                </c:pt>
                <c:pt idx="93">
                  <c:v>-443.47325965854259</c:v>
                </c:pt>
                <c:pt idx="94">
                  <c:v>-448.2417893322903</c:v>
                </c:pt>
                <c:pt idx="95">
                  <c:v>-453.01031900603812</c:v>
                </c:pt>
                <c:pt idx="96">
                  <c:v>-457.77884867978582</c:v>
                </c:pt>
                <c:pt idx="97">
                  <c:v>-462.54737835353365</c:v>
                </c:pt>
                <c:pt idx="98">
                  <c:v>-467.31590802728135</c:v>
                </c:pt>
                <c:pt idx="99">
                  <c:v>-472.08443770102917</c:v>
                </c:pt>
                <c:pt idx="100">
                  <c:v>-476.85296737477688</c:v>
                </c:pt>
                <c:pt idx="101">
                  <c:v>-481.6214970485247</c:v>
                </c:pt>
                <c:pt idx="102">
                  <c:v>-486.39002672227241</c:v>
                </c:pt>
                <c:pt idx="103">
                  <c:v>-491.15855639602023</c:v>
                </c:pt>
                <c:pt idx="104">
                  <c:v>-495.927086069768</c:v>
                </c:pt>
                <c:pt idx="105">
                  <c:v>-500.69561574351582</c:v>
                </c:pt>
                <c:pt idx="106">
                  <c:v>-505.46414541726352</c:v>
                </c:pt>
                <c:pt idx="107">
                  <c:v>-510.23267509101134</c:v>
                </c:pt>
                <c:pt idx="108">
                  <c:v>-515.001204764759</c:v>
                </c:pt>
                <c:pt idx="109">
                  <c:v>-519.76973443850682</c:v>
                </c:pt>
                <c:pt idx="110">
                  <c:v>-524.53826411225464</c:v>
                </c:pt>
                <c:pt idx="111">
                  <c:v>-529.30679378600246</c:v>
                </c:pt>
                <c:pt idx="112">
                  <c:v>-534.07532345975017</c:v>
                </c:pt>
                <c:pt idx="113">
                  <c:v>-538.84385313349799</c:v>
                </c:pt>
                <c:pt idx="114">
                  <c:v>-543.61238280724569</c:v>
                </c:pt>
                <c:pt idx="115">
                  <c:v>-548.38091248099352</c:v>
                </c:pt>
                <c:pt idx="116">
                  <c:v>-553.14944215474122</c:v>
                </c:pt>
                <c:pt idx="117">
                  <c:v>-557.91797182848904</c:v>
                </c:pt>
                <c:pt idx="118">
                  <c:v>-562.68650150223675</c:v>
                </c:pt>
                <c:pt idx="119">
                  <c:v>-567.45503117598457</c:v>
                </c:pt>
                <c:pt idx="120">
                  <c:v>-572.22356084973228</c:v>
                </c:pt>
                <c:pt idx="121">
                  <c:v>-576.9920905234801</c:v>
                </c:pt>
                <c:pt idx="122">
                  <c:v>-581.76062019722781</c:v>
                </c:pt>
                <c:pt idx="123">
                  <c:v>-586.52914987097563</c:v>
                </c:pt>
                <c:pt idx="124">
                  <c:v>-591.29767954472334</c:v>
                </c:pt>
                <c:pt idx="125">
                  <c:v>-596.06620921847116</c:v>
                </c:pt>
                <c:pt idx="126">
                  <c:v>-600.83473889221887</c:v>
                </c:pt>
                <c:pt idx="127">
                  <c:v>-605.60326856596669</c:v>
                </c:pt>
                <c:pt idx="128">
                  <c:v>-610.37179823971439</c:v>
                </c:pt>
                <c:pt idx="129">
                  <c:v>-615.14032791346222</c:v>
                </c:pt>
                <c:pt idx="130">
                  <c:v>-619.90885758720992</c:v>
                </c:pt>
                <c:pt idx="131">
                  <c:v>-624.67738726095774</c:v>
                </c:pt>
                <c:pt idx="132">
                  <c:v>-629.44591693470545</c:v>
                </c:pt>
                <c:pt idx="133">
                  <c:v>-634.21444660845327</c:v>
                </c:pt>
                <c:pt idx="134">
                  <c:v>-638.98297628220109</c:v>
                </c:pt>
                <c:pt idx="135">
                  <c:v>-643.75150595594891</c:v>
                </c:pt>
                <c:pt idx="136">
                  <c:v>-648.52003562969662</c:v>
                </c:pt>
                <c:pt idx="137">
                  <c:v>-653.28856530344444</c:v>
                </c:pt>
                <c:pt idx="138">
                  <c:v>-658.05709497719215</c:v>
                </c:pt>
                <c:pt idx="139">
                  <c:v>-662.82562465093997</c:v>
                </c:pt>
                <c:pt idx="140">
                  <c:v>-667.59415432468768</c:v>
                </c:pt>
                <c:pt idx="141">
                  <c:v>-672.3626839984355</c:v>
                </c:pt>
                <c:pt idx="142">
                  <c:v>-677.13121367218321</c:v>
                </c:pt>
                <c:pt idx="143">
                  <c:v>-681.89974334593103</c:v>
                </c:pt>
                <c:pt idx="144">
                  <c:v>-686.66827301967874</c:v>
                </c:pt>
                <c:pt idx="145">
                  <c:v>-691.43680269342656</c:v>
                </c:pt>
                <c:pt idx="146">
                  <c:v>-696.20533236717426</c:v>
                </c:pt>
                <c:pt idx="147">
                  <c:v>-700.97386204092209</c:v>
                </c:pt>
                <c:pt idx="148">
                  <c:v>-705.74239171466979</c:v>
                </c:pt>
                <c:pt idx="149">
                  <c:v>-710.51092138841761</c:v>
                </c:pt>
                <c:pt idx="150">
                  <c:v>-715.27945106216532</c:v>
                </c:pt>
                <c:pt idx="151">
                  <c:v>-720.04798073591314</c:v>
                </c:pt>
                <c:pt idx="152">
                  <c:v>-724.81651040966085</c:v>
                </c:pt>
                <c:pt idx="153">
                  <c:v>-729.58504008340867</c:v>
                </c:pt>
                <c:pt idx="154">
                  <c:v>-734.35356975715638</c:v>
                </c:pt>
                <c:pt idx="155">
                  <c:v>-739.1220994309042</c:v>
                </c:pt>
                <c:pt idx="156">
                  <c:v>-743.89062910465191</c:v>
                </c:pt>
                <c:pt idx="157">
                  <c:v>-748.65915877839973</c:v>
                </c:pt>
                <c:pt idx="158">
                  <c:v>-753.42768845214755</c:v>
                </c:pt>
                <c:pt idx="159">
                  <c:v>-758.19621812589537</c:v>
                </c:pt>
                <c:pt idx="160">
                  <c:v>-762.96474779964308</c:v>
                </c:pt>
                <c:pt idx="161">
                  <c:v>-767.7332774733909</c:v>
                </c:pt>
                <c:pt idx="162">
                  <c:v>-772.50180714713861</c:v>
                </c:pt>
                <c:pt idx="163">
                  <c:v>-777.27033682088643</c:v>
                </c:pt>
                <c:pt idx="164">
                  <c:v>-782.03886649463414</c:v>
                </c:pt>
                <c:pt idx="165">
                  <c:v>-786.80739616838196</c:v>
                </c:pt>
                <c:pt idx="166">
                  <c:v>-791.57592584212966</c:v>
                </c:pt>
                <c:pt idx="167">
                  <c:v>-796.34445551587748</c:v>
                </c:pt>
                <c:pt idx="168">
                  <c:v>-801.11298518962519</c:v>
                </c:pt>
                <c:pt idx="169">
                  <c:v>-805.88151486337301</c:v>
                </c:pt>
                <c:pt idx="170">
                  <c:v>-810.65004453712072</c:v>
                </c:pt>
                <c:pt idx="171">
                  <c:v>-815.41857421086854</c:v>
                </c:pt>
              </c:numCache>
            </c:numRef>
          </c:xVal>
          <c:yVal>
            <c:numRef>
              <c:f>Foglio2!$L$4:$L$175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-361.993543877891</c:v>
                </c:pt>
                <c:pt idx="2">
                  <c:v>-361.79609869293654</c:v>
                </c:pt>
                <c:pt idx="3">
                  <c:v>-361.54033657577315</c:v>
                </c:pt>
                <c:pt idx="4">
                  <c:v>-361.23734740335658</c:v>
                </c:pt>
                <c:pt idx="5">
                  <c:v>-360.89351986487043</c:v>
                </c:pt>
                <c:pt idx="6">
                  <c:v>-360.51314851630991</c:v>
                </c:pt>
                <c:pt idx="7">
                  <c:v>-360.09937288800376</c:v>
                </c:pt>
                <c:pt idx="8">
                  <c:v>-359.65461420974276</c:v>
                </c:pt>
                <c:pt idx="9">
                  <c:v>-359.18081055455207</c:v>
                </c:pt>
                <c:pt idx="10">
                  <c:v>-358.67955638366533</c:v>
                </c:pt>
                <c:pt idx="11">
                  <c:v>-358.15219136030549</c:v>
                </c:pt>
                <c:pt idx="12">
                  <c:v>-357.59985995070707</c:v>
                </c:pt>
                <c:pt idx="13">
                  <c:v>-357.0235531205056</c:v>
                </c:pt>
                <c:pt idx="14">
                  <c:v>-356.4241385019414</c:v>
                </c:pt>
                <c:pt idx="15">
                  <c:v>-355.80238283327202</c:v>
                </c:pt>
                <c:pt idx="16">
                  <c:v>-355.15896904305589</c:v>
                </c:pt>
                <c:pt idx="17">
                  <c:v>-354.49450951775077</c:v>
                </c:pt>
                <c:pt idx="18">
                  <c:v>-353.80955658290424</c:v>
                </c:pt>
                <c:pt idx="19">
                  <c:v>-353.10461090730041</c:v>
                </c:pt>
                <c:pt idx="20">
                  <c:v>-352.38012833037726</c:v>
                </c:pt>
                <c:pt idx="21">
                  <c:v>-351.63652547332322</c:v>
                </c:pt>
                <c:pt idx="22">
                  <c:v>-350.87418439837086</c:v>
                </c:pt>
                <c:pt idx="23">
                  <c:v>-350.09345651368761</c:v>
                </c:pt>
                <c:pt idx="24">
                  <c:v>-349.29466587339016</c:v>
                </c:pt>
                <c:pt idx="25">
                  <c:v>-348.47811198748059</c:v>
                </c:pt>
                <c:pt idx="26">
                  <c:v>-347.64407223092343</c:v>
                </c:pt>
                <c:pt idx="27">
                  <c:v>-346.79280392197461</c:v>
                </c:pt>
                <c:pt idx="28">
                  <c:v>-345.92454612542446</c:v>
                </c:pt>
                <c:pt idx="29">
                  <c:v>-345.03952122535645</c:v>
                </c:pt>
                <c:pt idx="30">
                  <c:v>-344.13793630347084</c:v>
                </c:pt>
                <c:pt idx="31">
                  <c:v>-343.21998435234212</c:v>
                </c:pt>
                <c:pt idx="32">
                  <c:v>-342.28584534771159</c:v>
                </c:pt>
                <c:pt idx="33">
                  <c:v>-341.33568719973215</c:v>
                </c:pt>
                <c:pt idx="34">
                  <c:v>-340.36966659972626</c:v>
                </c:pt>
                <c:pt idx="35">
                  <c:v>-339.38792977631209</c:v>
                </c:pt>
                <c:pt idx="36">
                  <c:v>-338.3906131725509</c:v>
                </c:pt>
                <c:pt idx="37">
                  <c:v>-337.37784405397099</c:v>
                </c:pt>
                <c:pt idx="38">
                  <c:v>-336.34974105583876</c:v>
                </c:pt>
                <c:pt idx="39">
                  <c:v>-335.30641467682443</c:v>
                </c:pt>
                <c:pt idx="40">
                  <c:v>-334.24796772518727</c:v>
                </c:pt>
                <c:pt idx="41">
                  <c:v>-333.17449572275177</c:v>
                </c:pt>
                <c:pt idx="42">
                  <c:v>-332.08608727122913</c:v>
                </c:pt>
                <c:pt idx="43">
                  <c:v>-330.98282438483085</c:v>
                </c:pt>
                <c:pt idx="44">
                  <c:v>-329.86478279260945</c:v>
                </c:pt>
                <c:pt idx="45">
                  <c:v>-328.73203221351918</c:v>
                </c:pt>
                <c:pt idx="46">
                  <c:v>-327.5846366068202</c:v>
                </c:pt>
                <c:pt idx="47">
                  <c:v>-326.42265440012284</c:v>
                </c:pt>
                <c:pt idx="48">
                  <c:v>-325.24613869709418</c:v>
                </c:pt>
                <c:pt idx="49">
                  <c:v>-324.0551374666087</c:v>
                </c:pt>
                <c:pt idx="50">
                  <c:v>-322.84969371491525</c:v>
                </c:pt>
                <c:pt idx="51">
                  <c:v>-321.62984564221324</c:v>
                </c:pt>
                <c:pt idx="52">
                  <c:v>-320.39562678486885</c:v>
                </c:pt>
                <c:pt idx="53">
                  <c:v>-319.14706614436699</c:v>
                </c:pt>
                <c:pt idx="54">
                  <c:v>-317.88418830396824</c:v>
                </c:pt>
                <c:pt idx="55">
                  <c:v>-316.60701353393506</c:v>
                </c:pt>
                <c:pt idx="56">
                  <c:v>-315.31555788609256</c:v>
                </c:pt>
                <c:pt idx="57">
                  <c:v>-314.00983327840652</c:v>
                </c:pt>
                <c:pt idx="58">
                  <c:v>-312.68984757018308</c:v>
                </c:pt>
                <c:pt idx="59">
                  <c:v>-311.35560462842835</c:v>
                </c:pt>
                <c:pt idx="60">
                  <c:v>-310.00710438584207</c:v>
                </c:pt>
                <c:pt idx="61">
                  <c:v>-308.64434289086722</c:v>
                </c:pt>
                <c:pt idx="62">
                  <c:v>-307.26731235016462</c:v>
                </c:pt>
                <c:pt idx="63">
                  <c:v>-305.87600116383771</c:v>
                </c:pt>
                <c:pt idx="64">
                  <c:v>-304.47039395368893</c:v>
                </c:pt>
                <c:pt idx="65">
                  <c:v>-303.05047158475344</c:v>
                </c:pt>
                <c:pt idx="66">
                  <c:v>-301.61621118031599</c:v>
                </c:pt>
                <c:pt idx="67">
                  <c:v>-300.16758613058937</c:v>
                </c:pt>
                <c:pt idx="68">
                  <c:v>-298.70456609519607</c:v>
                </c:pt>
                <c:pt idx="69">
                  <c:v>-297.2271169995692</c:v>
                </c:pt>
                <c:pt idx="70">
                  <c:v>-295.73520102536111</c:v>
                </c:pt>
                <c:pt idx="71">
                  <c:v>-294.22877659491888</c:v>
                </c:pt>
                <c:pt idx="72">
                  <c:v>-292.70779834986376</c:v>
                </c:pt>
                <c:pt idx="73">
                  <c:v>-291.172217123785</c:v>
                </c:pt>
                <c:pt idx="74">
                  <c:v>-289.62197990903479</c:v>
                </c:pt>
                <c:pt idx="75">
                  <c:v>-288.05702981758799</c:v>
                </c:pt>
                <c:pt idx="76">
                  <c:v>-286.47730603590588</c:v>
                </c:pt>
                <c:pt idx="77">
                  <c:v>-284.88274377372107</c:v>
                </c:pt>
                <c:pt idx="78">
                  <c:v>-283.27327420663454</c:v>
                </c:pt>
                <c:pt idx="79">
                  <c:v>-281.64882441239502</c:v>
                </c:pt>
                <c:pt idx="80">
                  <c:v>-280.00931730070391</c:v>
                </c:pt>
                <c:pt idx="81">
                  <c:v>-278.35467153636415</c:v>
                </c:pt>
                <c:pt idx="82">
                  <c:v>-276.68480145556663</c:v>
                </c:pt>
                <c:pt idx="83">
                  <c:v>-274.99961697507757</c:v>
                </c:pt>
                <c:pt idx="84">
                  <c:v>-273.29902349406706</c:v>
                </c:pt>
                <c:pt idx="85">
                  <c:v>-271.5829217882814</c:v>
                </c:pt>
                <c:pt idx="86">
                  <c:v>-269.85120789623778</c:v>
                </c:pt>
                <c:pt idx="87">
                  <c:v>-268.10377299708097</c:v>
                </c:pt>
                <c:pt idx="88">
                  <c:v>-266.340503279708</c:v>
                </c:pt>
                <c:pt idx="89">
                  <c:v>-264.56127980272794</c:v>
                </c:pt>
                <c:pt idx="90">
                  <c:v>-262.76597834478252</c:v>
                </c:pt>
                <c:pt idx="91">
                  <c:v>-260.95446924470934</c:v>
                </c:pt>
                <c:pt idx="92">
                  <c:v>-259.12661723098097</c:v>
                </c:pt>
                <c:pt idx="93">
                  <c:v>-257.28228123980131</c:v>
                </c:pt>
                <c:pt idx="94">
                  <c:v>-255.42131422118598</c:v>
                </c:pt>
                <c:pt idx="95">
                  <c:v>-253.54356293228835</c:v>
                </c:pt>
                <c:pt idx="96">
                  <c:v>-251.64886771717147</c:v>
                </c:pt>
                <c:pt idx="97">
                  <c:v>-249.73706227214819</c:v>
                </c:pt>
                <c:pt idx="98">
                  <c:v>-247.80797339573553</c:v>
                </c:pt>
                <c:pt idx="99">
                  <c:v>-245.86142072217993</c:v>
                </c:pt>
                <c:pt idx="100">
                  <c:v>-243.8972164374149</c:v>
                </c:pt>
                <c:pt idx="101">
                  <c:v>-241.91516497620674</c:v>
                </c:pt>
                <c:pt idx="102">
                  <c:v>-239.91506269912753</c:v>
                </c:pt>
                <c:pt idx="103">
                  <c:v>-237.89669754786524</c:v>
                </c:pt>
                <c:pt idx="104">
                  <c:v>-235.85984867724014</c:v>
                </c:pt>
                <c:pt idx="105">
                  <c:v>-233.80428606213772</c:v>
                </c:pt>
                <c:pt idx="106">
                  <c:v>-231.72977007739388</c:v>
                </c:pt>
                <c:pt idx="107">
                  <c:v>-229.63605104847412</c:v>
                </c:pt>
                <c:pt idx="108">
                  <c:v>-227.52286877057122</c:v>
                </c:pt>
                <c:pt idx="109">
                  <c:v>-225.38995199350435</c:v>
                </c:pt>
                <c:pt idx="110">
                  <c:v>-223.2370178695347</c:v>
                </c:pt>
                <c:pt idx="111">
                  <c:v>-221.06377136090563</c:v>
                </c:pt>
                <c:pt idx="112">
                  <c:v>-218.86990460358177</c:v>
                </c:pt>
                <c:pt idx="113">
                  <c:v>-216.65509622327625</c:v>
                </c:pt>
                <c:pt idx="114">
                  <c:v>-214.41901059942813</c:v>
                </c:pt>
                <c:pt idx="115">
                  <c:v>-212.1612970723057</c:v>
                </c:pt>
                <c:pt idx="116">
                  <c:v>-209.88158908786636</c:v>
                </c:pt>
                <c:pt idx="117">
                  <c:v>-207.57950327437874</c:v>
                </c:pt>
                <c:pt idx="118">
                  <c:v>-205.25463844411235</c:v>
                </c:pt>
                <c:pt idx="119">
                  <c:v>-202.90657451259185</c:v>
                </c:pt>
                <c:pt idx="120">
                  <c:v>-200.53487132700238</c:v>
                </c:pt>
                <c:pt idx="121">
                  <c:v>-198.13906739427907</c:v>
                </c:pt>
                <c:pt idx="122">
                  <c:v>-195.71867849821601</c:v>
                </c:pt>
                <c:pt idx="123">
                  <c:v>-193.27319619354461</c:v>
                </c:pt>
                <c:pt idx="124">
                  <c:v>-190.80208616334096</c:v>
                </c:pt>
                <c:pt idx="125">
                  <c:v>-188.30478642427462</c:v>
                </c:pt>
                <c:pt idx="126">
                  <c:v>-185.78070536207892</c:v>
                </c:pt>
                <c:pt idx="127">
                  <c:v>-183.22921957713149</c:v>
                </c:pt>
                <c:pt idx="128">
                  <c:v>-180.64967151713734</c:v>
                </c:pt>
                <c:pt idx="129">
                  <c:v>-178.04136687050323</c:v>
                </c:pt>
                <c:pt idx="130">
                  <c:v>-175.40357169000404</c:v>
                </c:pt>
                <c:pt idx="131">
                  <c:v>-172.73550921162848</c:v>
                </c:pt>
                <c:pt idx="132">
                  <c:v>-170.03635632792057</c:v>
                </c:pt>
                <c:pt idx="133">
                  <c:v>-167.30523966849952</c:v>
                </c:pt>
                <c:pt idx="134">
                  <c:v>-164.54123123253723</c:v>
                </c:pt>
                <c:pt idx="135">
                  <c:v>-161.74334350848108</c:v>
                </c:pt>
                <c:pt idx="136">
                  <c:v>-158.91052400488906</c:v>
                </c:pt>
                <c:pt idx="137">
                  <c:v>-156.04164910241383</c:v>
                </c:pt>
                <c:pt idx="138">
                  <c:v>-153.13551712014939</c:v>
                </c:pt>
                <c:pt idx="139">
                  <c:v>-150.19084046896964</c:v>
                </c:pt>
                <c:pt idx="140">
                  <c:v>-147.20623673917385</c:v>
                </c:pt>
                <c:pt idx="141">
                  <c:v>-144.18021853840472</c:v>
                </c:pt>
                <c:pt idx="142">
                  <c:v>-141.11118185676656</c:v>
                </c:pt>
                <c:pt idx="143">
                  <c:v>-137.99739268709035</c:v>
                </c:pt>
                <c:pt idx="144">
                  <c:v>-134.83697156641483</c:v>
                </c:pt>
                <c:pt idx="145">
                  <c:v>-131.6278756259517</c:v>
                </c:pt>
                <c:pt idx="146">
                  <c:v>-128.36787763563086</c:v>
                </c:pt>
                <c:pt idx="147">
                  <c:v>-125.05454139825007</c:v>
                </c:pt>
                <c:pt idx="148">
                  <c:v>-121.68519267682855</c:v>
                </c:pt>
                <c:pt idx="149">
                  <c:v>-118.2568846122264</c:v>
                </c:pt>
                <c:pt idx="150">
                  <c:v>-114.76635628539084</c:v>
                </c:pt>
                <c:pt idx="151">
                  <c:v>-111.20998266918274</c:v>
                </c:pt>
                <c:pt idx="152">
                  <c:v>-107.58371365372788</c:v>
                </c:pt>
                <c:pt idx="153">
                  <c:v>-103.88299904935784</c:v>
                </c:pt>
                <c:pt idx="154">
                  <c:v>-100.10269536993547</c:v>
                </c:pt>
                <c:pt idx="155">
                  <c:v>-96.236948617080685</c:v>
                </c:pt>
                <c:pt idx="156">
                  <c:v>-92.27904496848673</c:v>
                </c:pt>
                <c:pt idx="157">
                  <c:v>-88.2212178064851</c:v>
                </c:pt>
                <c:pt idx="158">
                  <c:v>-84.05439421041163</c:v>
                </c:pt>
                <c:pt idx="159">
                  <c:v>-79.767855673039406</c:v>
                </c:pt>
                <c:pt idx="160">
                  <c:v>-75.348774224975699</c:v>
                </c:pt>
                <c:pt idx="161">
                  <c:v>-70.781562320194112</c:v>
                </c:pt>
                <c:pt idx="162">
                  <c:v>-66.046934834702157</c:v>
                </c:pt>
                <c:pt idx="163">
                  <c:v>-61.120507974838212</c:v>
                </c:pt>
                <c:pt idx="164">
                  <c:v>-55.970616576793901</c:v>
                </c:pt>
                <c:pt idx="165">
                  <c:v>-50.5547315812832</c:v>
                </c:pt>
                <c:pt idx="166">
                  <c:v>-44.813174595073221</c:v>
                </c:pt>
                <c:pt idx="167">
                  <c:v>-38.657070080709609</c:v>
                </c:pt>
                <c:pt idx="168">
                  <c:v>-31.942202187431882</c:v>
                </c:pt>
                <c:pt idx="169">
                  <c:v>-24.400437610198441</c:v>
                </c:pt>
                <c:pt idx="170">
                  <c:v>-15.386378763167039</c:v>
                </c:pt>
                <c:pt idx="171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Foglio2!$M$4:$M$175</c:f>
              <c:numCache>
                <c:formatCode>0.0</c:formatCode>
                <c:ptCount val="172"/>
                <c:pt idx="0">
                  <c:v>0</c:v>
                </c:pt>
                <c:pt idx="1">
                  <c:v>4.7685296737477687</c:v>
                </c:pt>
                <c:pt idx="2">
                  <c:v>9.5370593474955374</c:v>
                </c:pt>
                <c:pt idx="3">
                  <c:v>14.305589021243307</c:v>
                </c:pt>
                <c:pt idx="4">
                  <c:v>19.074118694991075</c:v>
                </c:pt>
                <c:pt idx="5">
                  <c:v>23.842648368738846</c:v>
                </c:pt>
                <c:pt idx="6">
                  <c:v>28.611178042486614</c:v>
                </c:pt>
                <c:pt idx="7">
                  <c:v>33.379707716234385</c:v>
                </c:pt>
                <c:pt idx="8">
                  <c:v>38.14823738998215</c:v>
                </c:pt>
                <c:pt idx="9">
                  <c:v>42.916767063729921</c:v>
                </c:pt>
                <c:pt idx="10">
                  <c:v>47.685296737477692</c:v>
                </c:pt>
                <c:pt idx="11">
                  <c:v>52.453826411225457</c:v>
                </c:pt>
                <c:pt idx="12">
                  <c:v>57.222356084973228</c:v>
                </c:pt>
                <c:pt idx="13">
                  <c:v>61.990885758720999</c:v>
                </c:pt>
                <c:pt idx="14">
                  <c:v>66.759415432468771</c:v>
                </c:pt>
                <c:pt idx="15">
                  <c:v>71.527945106216535</c:v>
                </c:pt>
                <c:pt idx="16">
                  <c:v>76.296474779964299</c:v>
                </c:pt>
                <c:pt idx="17">
                  <c:v>81.065004453712078</c:v>
                </c:pt>
                <c:pt idx="18">
                  <c:v>85.833534127459842</c:v>
                </c:pt>
                <c:pt idx="19">
                  <c:v>90.602063801207606</c:v>
                </c:pt>
                <c:pt idx="20">
                  <c:v>95.370593474955385</c:v>
                </c:pt>
                <c:pt idx="21">
                  <c:v>100.13912314870315</c:v>
                </c:pt>
                <c:pt idx="22">
                  <c:v>104.90765282245091</c:v>
                </c:pt>
                <c:pt idx="23">
                  <c:v>109.67618249619869</c:v>
                </c:pt>
                <c:pt idx="24">
                  <c:v>114.44471216994646</c:v>
                </c:pt>
                <c:pt idx="25">
                  <c:v>119.21324184369422</c:v>
                </c:pt>
                <c:pt idx="26">
                  <c:v>123.981771517442</c:v>
                </c:pt>
                <c:pt idx="27">
                  <c:v>128.75030119118975</c:v>
                </c:pt>
                <c:pt idx="28">
                  <c:v>133.51883086493754</c:v>
                </c:pt>
                <c:pt idx="29">
                  <c:v>138.28736053868531</c:v>
                </c:pt>
                <c:pt idx="30">
                  <c:v>143.05589021243307</c:v>
                </c:pt>
                <c:pt idx="31">
                  <c:v>147.82441988618083</c:v>
                </c:pt>
                <c:pt idx="32">
                  <c:v>152.5929495599286</c:v>
                </c:pt>
                <c:pt idx="33">
                  <c:v>157.36147923367636</c:v>
                </c:pt>
                <c:pt idx="34">
                  <c:v>162.13000890742416</c:v>
                </c:pt>
                <c:pt idx="35">
                  <c:v>166.89853858117192</c:v>
                </c:pt>
                <c:pt idx="36">
                  <c:v>171.66706825491968</c:v>
                </c:pt>
                <c:pt idx="37">
                  <c:v>176.43559792866745</c:v>
                </c:pt>
                <c:pt idx="38">
                  <c:v>181.20412760241521</c:v>
                </c:pt>
                <c:pt idx="39">
                  <c:v>185.97265727616298</c:v>
                </c:pt>
                <c:pt idx="40">
                  <c:v>190.74118694991077</c:v>
                </c:pt>
                <c:pt idx="41">
                  <c:v>195.50971662365853</c:v>
                </c:pt>
                <c:pt idx="42">
                  <c:v>200.2782462974063</c:v>
                </c:pt>
                <c:pt idx="43">
                  <c:v>205.04677597115406</c:v>
                </c:pt>
                <c:pt idx="44">
                  <c:v>209.81530564490183</c:v>
                </c:pt>
                <c:pt idx="45">
                  <c:v>214.58383531864959</c:v>
                </c:pt>
                <c:pt idx="46">
                  <c:v>219.35236499239738</c:v>
                </c:pt>
                <c:pt idx="47">
                  <c:v>224.12089466614515</c:v>
                </c:pt>
                <c:pt idx="48">
                  <c:v>228.88942433989291</c:v>
                </c:pt>
                <c:pt idx="49">
                  <c:v>233.65795401364068</c:v>
                </c:pt>
                <c:pt idx="50">
                  <c:v>238.42648368738844</c:v>
                </c:pt>
                <c:pt idx="51">
                  <c:v>243.1950133611362</c:v>
                </c:pt>
                <c:pt idx="52">
                  <c:v>247.963543034884</c:v>
                </c:pt>
                <c:pt idx="53">
                  <c:v>252.73207270863176</c:v>
                </c:pt>
                <c:pt idx="54">
                  <c:v>257.5006023823795</c:v>
                </c:pt>
                <c:pt idx="55">
                  <c:v>262.26913205612732</c:v>
                </c:pt>
                <c:pt idx="56">
                  <c:v>267.03766172987508</c:v>
                </c:pt>
                <c:pt idx="57">
                  <c:v>271.80619140362285</c:v>
                </c:pt>
                <c:pt idx="58">
                  <c:v>276.57472107737061</c:v>
                </c:pt>
                <c:pt idx="59">
                  <c:v>281.34325075111838</c:v>
                </c:pt>
                <c:pt idx="60">
                  <c:v>286.11178042486614</c:v>
                </c:pt>
                <c:pt idx="61">
                  <c:v>290.8803100986139</c:v>
                </c:pt>
                <c:pt idx="62">
                  <c:v>295.64883977236167</c:v>
                </c:pt>
                <c:pt idx="63">
                  <c:v>300.41736944610943</c:v>
                </c:pt>
                <c:pt idx="64">
                  <c:v>305.1858991198572</c:v>
                </c:pt>
                <c:pt idx="65">
                  <c:v>309.95442879360496</c:v>
                </c:pt>
                <c:pt idx="66">
                  <c:v>314.72295846735273</c:v>
                </c:pt>
                <c:pt idx="67">
                  <c:v>319.49148814110055</c:v>
                </c:pt>
                <c:pt idx="68">
                  <c:v>324.26001781484831</c:v>
                </c:pt>
                <c:pt idx="69">
                  <c:v>329.02854748859608</c:v>
                </c:pt>
                <c:pt idx="70">
                  <c:v>333.79707716234384</c:v>
                </c:pt>
                <c:pt idx="71">
                  <c:v>338.5656068360916</c:v>
                </c:pt>
                <c:pt idx="72">
                  <c:v>343.33413650983937</c:v>
                </c:pt>
                <c:pt idx="73">
                  <c:v>348.10266618358713</c:v>
                </c:pt>
                <c:pt idx="74">
                  <c:v>352.8711958573349</c:v>
                </c:pt>
                <c:pt idx="75">
                  <c:v>357.63972553108266</c:v>
                </c:pt>
                <c:pt idx="76">
                  <c:v>362.40825520483043</c:v>
                </c:pt>
                <c:pt idx="77">
                  <c:v>367.17678487857819</c:v>
                </c:pt>
                <c:pt idx="78">
                  <c:v>371.94531455232595</c:v>
                </c:pt>
                <c:pt idx="79">
                  <c:v>376.71384422607377</c:v>
                </c:pt>
                <c:pt idx="80">
                  <c:v>381.48237389982154</c:v>
                </c:pt>
                <c:pt idx="81">
                  <c:v>386.2509035735693</c:v>
                </c:pt>
                <c:pt idx="82">
                  <c:v>391.01943324731707</c:v>
                </c:pt>
                <c:pt idx="83">
                  <c:v>395.78796292106483</c:v>
                </c:pt>
                <c:pt idx="84">
                  <c:v>400.5564925948126</c:v>
                </c:pt>
                <c:pt idx="85">
                  <c:v>405.32502226856036</c:v>
                </c:pt>
                <c:pt idx="86">
                  <c:v>410.09355194230812</c:v>
                </c:pt>
                <c:pt idx="87">
                  <c:v>414.86208161605595</c:v>
                </c:pt>
                <c:pt idx="88">
                  <c:v>419.63061128980365</c:v>
                </c:pt>
                <c:pt idx="89">
                  <c:v>424.39914096355147</c:v>
                </c:pt>
                <c:pt idx="90">
                  <c:v>429.16767063729918</c:v>
                </c:pt>
                <c:pt idx="91">
                  <c:v>433.936200311047</c:v>
                </c:pt>
                <c:pt idx="92">
                  <c:v>438.70472998479477</c:v>
                </c:pt>
                <c:pt idx="93">
                  <c:v>443.47325965854259</c:v>
                </c:pt>
                <c:pt idx="94">
                  <c:v>448.2417893322903</c:v>
                </c:pt>
                <c:pt idx="95">
                  <c:v>453.01031900603812</c:v>
                </c:pt>
                <c:pt idx="96">
                  <c:v>457.77884867978582</c:v>
                </c:pt>
                <c:pt idx="97">
                  <c:v>462.54737835353365</c:v>
                </c:pt>
                <c:pt idx="98">
                  <c:v>467.31590802728135</c:v>
                </c:pt>
                <c:pt idx="99">
                  <c:v>472.08443770102917</c:v>
                </c:pt>
                <c:pt idx="100">
                  <c:v>476.85296737477688</c:v>
                </c:pt>
                <c:pt idx="101">
                  <c:v>481.6214970485247</c:v>
                </c:pt>
                <c:pt idx="102">
                  <c:v>486.39002672227241</c:v>
                </c:pt>
                <c:pt idx="103">
                  <c:v>491.15855639602023</c:v>
                </c:pt>
                <c:pt idx="104">
                  <c:v>495.927086069768</c:v>
                </c:pt>
                <c:pt idx="105">
                  <c:v>500.69561574351582</c:v>
                </c:pt>
                <c:pt idx="106">
                  <c:v>505.46414541726352</c:v>
                </c:pt>
                <c:pt idx="107">
                  <c:v>510.23267509101134</c:v>
                </c:pt>
                <c:pt idx="108">
                  <c:v>515.001204764759</c:v>
                </c:pt>
                <c:pt idx="109">
                  <c:v>519.76973443850682</c:v>
                </c:pt>
                <c:pt idx="110">
                  <c:v>524.53826411225464</c:v>
                </c:pt>
                <c:pt idx="111">
                  <c:v>529.30679378600246</c:v>
                </c:pt>
                <c:pt idx="112">
                  <c:v>534.07532345975017</c:v>
                </c:pt>
                <c:pt idx="113">
                  <c:v>538.84385313349799</c:v>
                </c:pt>
                <c:pt idx="114">
                  <c:v>543.61238280724569</c:v>
                </c:pt>
                <c:pt idx="115">
                  <c:v>548.38091248099352</c:v>
                </c:pt>
                <c:pt idx="116">
                  <c:v>553.14944215474122</c:v>
                </c:pt>
                <c:pt idx="117">
                  <c:v>557.91797182848904</c:v>
                </c:pt>
                <c:pt idx="118">
                  <c:v>562.68650150223675</c:v>
                </c:pt>
                <c:pt idx="119">
                  <c:v>567.45503117598457</c:v>
                </c:pt>
                <c:pt idx="120">
                  <c:v>572.22356084973228</c:v>
                </c:pt>
                <c:pt idx="121">
                  <c:v>576.9920905234801</c:v>
                </c:pt>
                <c:pt idx="122">
                  <c:v>581.76062019722781</c:v>
                </c:pt>
                <c:pt idx="123">
                  <c:v>586.52914987097563</c:v>
                </c:pt>
                <c:pt idx="124">
                  <c:v>591.29767954472334</c:v>
                </c:pt>
                <c:pt idx="125">
                  <c:v>596.06620921847116</c:v>
                </c:pt>
                <c:pt idx="126">
                  <c:v>600.83473889221887</c:v>
                </c:pt>
                <c:pt idx="127">
                  <c:v>605.60326856596669</c:v>
                </c:pt>
                <c:pt idx="128">
                  <c:v>610.37179823971439</c:v>
                </c:pt>
                <c:pt idx="129">
                  <c:v>615.14032791346222</c:v>
                </c:pt>
                <c:pt idx="130">
                  <c:v>619.90885758720992</c:v>
                </c:pt>
                <c:pt idx="131">
                  <c:v>624.67738726095774</c:v>
                </c:pt>
                <c:pt idx="132">
                  <c:v>629.44591693470545</c:v>
                </c:pt>
                <c:pt idx="133">
                  <c:v>634.21444660845327</c:v>
                </c:pt>
                <c:pt idx="134">
                  <c:v>638.98297628220109</c:v>
                </c:pt>
                <c:pt idx="135">
                  <c:v>643.75150595594891</c:v>
                </c:pt>
                <c:pt idx="136">
                  <c:v>648.52003562969662</c:v>
                </c:pt>
                <c:pt idx="137">
                  <c:v>653.28856530344444</c:v>
                </c:pt>
                <c:pt idx="138">
                  <c:v>658.05709497719215</c:v>
                </c:pt>
                <c:pt idx="139">
                  <c:v>662.82562465093997</c:v>
                </c:pt>
                <c:pt idx="140">
                  <c:v>667.59415432468768</c:v>
                </c:pt>
                <c:pt idx="141">
                  <c:v>672.3626839984355</c:v>
                </c:pt>
                <c:pt idx="142">
                  <c:v>677.13121367218321</c:v>
                </c:pt>
                <c:pt idx="143">
                  <c:v>681.89974334593103</c:v>
                </c:pt>
                <c:pt idx="144">
                  <c:v>686.66827301967874</c:v>
                </c:pt>
                <c:pt idx="145">
                  <c:v>691.43680269342656</c:v>
                </c:pt>
                <c:pt idx="146">
                  <c:v>696.20533236717426</c:v>
                </c:pt>
                <c:pt idx="147">
                  <c:v>700.97386204092209</c:v>
                </c:pt>
                <c:pt idx="148">
                  <c:v>705.74239171466979</c:v>
                </c:pt>
                <c:pt idx="149">
                  <c:v>710.51092138841761</c:v>
                </c:pt>
                <c:pt idx="150">
                  <c:v>715.27945106216532</c:v>
                </c:pt>
                <c:pt idx="151">
                  <c:v>720.04798073591314</c:v>
                </c:pt>
                <c:pt idx="152">
                  <c:v>724.81651040966085</c:v>
                </c:pt>
                <c:pt idx="153">
                  <c:v>729.58504008340867</c:v>
                </c:pt>
                <c:pt idx="154">
                  <c:v>734.35356975715638</c:v>
                </c:pt>
                <c:pt idx="155">
                  <c:v>739.1220994309042</c:v>
                </c:pt>
                <c:pt idx="156">
                  <c:v>743.89062910465191</c:v>
                </c:pt>
                <c:pt idx="157">
                  <c:v>748.65915877839973</c:v>
                </c:pt>
                <c:pt idx="158">
                  <c:v>753.42768845214755</c:v>
                </c:pt>
                <c:pt idx="159">
                  <c:v>758.19621812589537</c:v>
                </c:pt>
                <c:pt idx="160">
                  <c:v>762.96474779964308</c:v>
                </c:pt>
                <c:pt idx="161">
                  <c:v>767.7332774733909</c:v>
                </c:pt>
                <c:pt idx="162">
                  <c:v>772.50180714713861</c:v>
                </c:pt>
                <c:pt idx="163">
                  <c:v>777.27033682088643</c:v>
                </c:pt>
                <c:pt idx="164">
                  <c:v>782.03886649463414</c:v>
                </c:pt>
                <c:pt idx="165">
                  <c:v>786.80739616838196</c:v>
                </c:pt>
                <c:pt idx="166">
                  <c:v>791.57592584212966</c:v>
                </c:pt>
                <c:pt idx="167">
                  <c:v>796.34445551587748</c:v>
                </c:pt>
                <c:pt idx="168">
                  <c:v>801.11298518962519</c:v>
                </c:pt>
                <c:pt idx="169">
                  <c:v>805.88151486337301</c:v>
                </c:pt>
                <c:pt idx="170">
                  <c:v>810.65004453712072</c:v>
                </c:pt>
                <c:pt idx="171">
                  <c:v>815.41857421086854</c:v>
                </c:pt>
              </c:numCache>
            </c:numRef>
          </c:xVal>
          <c:yVal>
            <c:numRef>
              <c:f>Foglio2!$N$4:$N$175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-361.993543877891</c:v>
                </c:pt>
                <c:pt idx="2">
                  <c:v>-361.79609869293654</c:v>
                </c:pt>
                <c:pt idx="3">
                  <c:v>-361.54033657577315</c:v>
                </c:pt>
                <c:pt idx="4">
                  <c:v>-361.23734740335658</c:v>
                </c:pt>
                <c:pt idx="5">
                  <c:v>-360.89351986487043</c:v>
                </c:pt>
                <c:pt idx="6">
                  <c:v>-360.51314851630991</c:v>
                </c:pt>
                <c:pt idx="7">
                  <c:v>-360.09937288800376</c:v>
                </c:pt>
                <c:pt idx="8">
                  <c:v>-359.65461420974276</c:v>
                </c:pt>
                <c:pt idx="9">
                  <c:v>-359.18081055455207</c:v>
                </c:pt>
                <c:pt idx="10">
                  <c:v>-358.67955638366533</c:v>
                </c:pt>
                <c:pt idx="11">
                  <c:v>-358.15219136030549</c:v>
                </c:pt>
                <c:pt idx="12">
                  <c:v>-357.59985995070707</c:v>
                </c:pt>
                <c:pt idx="13">
                  <c:v>-357.0235531205056</c:v>
                </c:pt>
                <c:pt idx="14">
                  <c:v>-356.4241385019414</c:v>
                </c:pt>
                <c:pt idx="15">
                  <c:v>-355.80238283327202</c:v>
                </c:pt>
                <c:pt idx="16">
                  <c:v>-355.15896904305589</c:v>
                </c:pt>
                <c:pt idx="17">
                  <c:v>-354.49450951775077</c:v>
                </c:pt>
                <c:pt idx="18">
                  <c:v>-353.80955658290424</c:v>
                </c:pt>
                <c:pt idx="19">
                  <c:v>-353.10461090730041</c:v>
                </c:pt>
                <c:pt idx="20">
                  <c:v>-352.38012833037726</c:v>
                </c:pt>
                <c:pt idx="21">
                  <c:v>-351.63652547332322</c:v>
                </c:pt>
                <c:pt idx="22">
                  <c:v>-350.87418439837086</c:v>
                </c:pt>
                <c:pt idx="23">
                  <c:v>-350.09345651368761</c:v>
                </c:pt>
                <c:pt idx="24">
                  <c:v>-349.29466587339016</c:v>
                </c:pt>
                <c:pt idx="25">
                  <c:v>-348.47811198748059</c:v>
                </c:pt>
                <c:pt idx="26">
                  <c:v>-347.64407223092343</c:v>
                </c:pt>
                <c:pt idx="27">
                  <c:v>-346.79280392197461</c:v>
                </c:pt>
                <c:pt idx="28">
                  <c:v>-345.92454612542446</c:v>
                </c:pt>
                <c:pt idx="29">
                  <c:v>-345.03952122535645</c:v>
                </c:pt>
                <c:pt idx="30">
                  <c:v>-344.13793630347084</c:v>
                </c:pt>
                <c:pt idx="31">
                  <c:v>-343.21998435234212</c:v>
                </c:pt>
                <c:pt idx="32">
                  <c:v>-342.28584534771159</c:v>
                </c:pt>
                <c:pt idx="33">
                  <c:v>-341.33568719973215</c:v>
                </c:pt>
                <c:pt idx="34">
                  <c:v>-340.36966659972626</c:v>
                </c:pt>
                <c:pt idx="35">
                  <c:v>-339.38792977631209</c:v>
                </c:pt>
                <c:pt idx="36">
                  <c:v>-338.3906131725509</c:v>
                </c:pt>
                <c:pt idx="37">
                  <c:v>-337.37784405397099</c:v>
                </c:pt>
                <c:pt idx="38">
                  <c:v>-336.34974105583876</c:v>
                </c:pt>
                <c:pt idx="39">
                  <c:v>-335.30641467682443</c:v>
                </c:pt>
                <c:pt idx="40">
                  <c:v>-334.24796772518727</c:v>
                </c:pt>
                <c:pt idx="41">
                  <c:v>-333.17449572275177</c:v>
                </c:pt>
                <c:pt idx="42">
                  <c:v>-332.08608727122913</c:v>
                </c:pt>
                <c:pt idx="43">
                  <c:v>-330.98282438483085</c:v>
                </c:pt>
                <c:pt idx="44">
                  <c:v>-329.86478279260945</c:v>
                </c:pt>
                <c:pt idx="45">
                  <c:v>-328.73203221351918</c:v>
                </c:pt>
                <c:pt idx="46">
                  <c:v>-327.5846366068202</c:v>
                </c:pt>
                <c:pt idx="47">
                  <c:v>-326.42265440012284</c:v>
                </c:pt>
                <c:pt idx="48">
                  <c:v>-325.24613869709418</c:v>
                </c:pt>
                <c:pt idx="49">
                  <c:v>-324.0551374666087</c:v>
                </c:pt>
                <c:pt idx="50">
                  <c:v>-322.84969371491525</c:v>
                </c:pt>
                <c:pt idx="51">
                  <c:v>-321.62984564221324</c:v>
                </c:pt>
                <c:pt idx="52">
                  <c:v>-320.39562678486885</c:v>
                </c:pt>
                <c:pt idx="53">
                  <c:v>-319.14706614436699</c:v>
                </c:pt>
                <c:pt idx="54">
                  <c:v>-317.88418830396824</c:v>
                </c:pt>
                <c:pt idx="55">
                  <c:v>-316.60701353393506</c:v>
                </c:pt>
                <c:pt idx="56">
                  <c:v>-315.31555788609256</c:v>
                </c:pt>
                <c:pt idx="57">
                  <c:v>-314.00983327840652</c:v>
                </c:pt>
                <c:pt idx="58">
                  <c:v>-312.68984757018308</c:v>
                </c:pt>
                <c:pt idx="59">
                  <c:v>-311.35560462842835</c:v>
                </c:pt>
                <c:pt idx="60">
                  <c:v>-310.00710438584207</c:v>
                </c:pt>
                <c:pt idx="61">
                  <c:v>-308.64434289086722</c:v>
                </c:pt>
                <c:pt idx="62">
                  <c:v>-307.26731235016462</c:v>
                </c:pt>
                <c:pt idx="63">
                  <c:v>-305.87600116383771</c:v>
                </c:pt>
                <c:pt idx="64">
                  <c:v>-304.47039395368893</c:v>
                </c:pt>
                <c:pt idx="65">
                  <c:v>-303.05047158475344</c:v>
                </c:pt>
                <c:pt idx="66">
                  <c:v>-301.61621118031599</c:v>
                </c:pt>
                <c:pt idx="67">
                  <c:v>-300.16758613058937</c:v>
                </c:pt>
                <c:pt idx="68">
                  <c:v>-298.70456609519607</c:v>
                </c:pt>
                <c:pt idx="69">
                  <c:v>-297.2271169995692</c:v>
                </c:pt>
                <c:pt idx="70">
                  <c:v>-295.73520102536111</c:v>
                </c:pt>
                <c:pt idx="71">
                  <c:v>-294.22877659491888</c:v>
                </c:pt>
                <c:pt idx="72">
                  <c:v>-292.70779834986376</c:v>
                </c:pt>
                <c:pt idx="73">
                  <c:v>-291.172217123785</c:v>
                </c:pt>
                <c:pt idx="74">
                  <c:v>-289.62197990903479</c:v>
                </c:pt>
                <c:pt idx="75">
                  <c:v>-288.05702981758799</c:v>
                </c:pt>
                <c:pt idx="76">
                  <c:v>-286.47730603590588</c:v>
                </c:pt>
                <c:pt idx="77">
                  <c:v>-284.88274377372107</c:v>
                </c:pt>
                <c:pt idx="78">
                  <c:v>-283.27327420663454</c:v>
                </c:pt>
                <c:pt idx="79">
                  <c:v>-281.64882441239502</c:v>
                </c:pt>
                <c:pt idx="80">
                  <c:v>-280.00931730070391</c:v>
                </c:pt>
                <c:pt idx="81">
                  <c:v>-278.35467153636415</c:v>
                </c:pt>
                <c:pt idx="82">
                  <c:v>-276.68480145556663</c:v>
                </c:pt>
                <c:pt idx="83">
                  <c:v>-274.99961697507757</c:v>
                </c:pt>
                <c:pt idx="84">
                  <c:v>-273.29902349406706</c:v>
                </c:pt>
                <c:pt idx="85">
                  <c:v>-271.5829217882814</c:v>
                </c:pt>
                <c:pt idx="86">
                  <c:v>-269.85120789623778</c:v>
                </c:pt>
                <c:pt idx="87">
                  <c:v>-268.10377299708097</c:v>
                </c:pt>
                <c:pt idx="88">
                  <c:v>-266.340503279708</c:v>
                </c:pt>
                <c:pt idx="89">
                  <c:v>-264.56127980272794</c:v>
                </c:pt>
                <c:pt idx="90">
                  <c:v>-262.76597834478252</c:v>
                </c:pt>
                <c:pt idx="91">
                  <c:v>-260.95446924470934</c:v>
                </c:pt>
                <c:pt idx="92">
                  <c:v>-259.12661723098097</c:v>
                </c:pt>
                <c:pt idx="93">
                  <c:v>-257.28228123980131</c:v>
                </c:pt>
                <c:pt idx="94">
                  <c:v>-255.42131422118598</c:v>
                </c:pt>
                <c:pt idx="95">
                  <c:v>-253.54356293228835</c:v>
                </c:pt>
                <c:pt idx="96">
                  <c:v>-251.64886771717147</c:v>
                </c:pt>
                <c:pt idx="97">
                  <c:v>-249.73706227214819</c:v>
                </c:pt>
                <c:pt idx="98">
                  <c:v>-247.80797339573553</c:v>
                </c:pt>
                <c:pt idx="99">
                  <c:v>-245.86142072217993</c:v>
                </c:pt>
                <c:pt idx="100">
                  <c:v>-243.8972164374149</c:v>
                </c:pt>
                <c:pt idx="101">
                  <c:v>-241.91516497620674</c:v>
                </c:pt>
                <c:pt idx="102">
                  <c:v>-239.91506269912753</c:v>
                </c:pt>
                <c:pt idx="103">
                  <c:v>-237.89669754786524</c:v>
                </c:pt>
                <c:pt idx="104">
                  <c:v>-235.85984867724014</c:v>
                </c:pt>
                <c:pt idx="105">
                  <c:v>-233.80428606213772</c:v>
                </c:pt>
                <c:pt idx="106">
                  <c:v>-231.72977007739388</c:v>
                </c:pt>
                <c:pt idx="107">
                  <c:v>-229.63605104847412</c:v>
                </c:pt>
                <c:pt idx="108">
                  <c:v>-227.52286877057122</c:v>
                </c:pt>
                <c:pt idx="109">
                  <c:v>-225.38995199350435</c:v>
                </c:pt>
                <c:pt idx="110">
                  <c:v>-223.2370178695347</c:v>
                </c:pt>
                <c:pt idx="111">
                  <c:v>-221.06377136090563</c:v>
                </c:pt>
                <c:pt idx="112">
                  <c:v>-218.86990460358177</c:v>
                </c:pt>
                <c:pt idx="113">
                  <c:v>-216.65509622327625</c:v>
                </c:pt>
                <c:pt idx="114">
                  <c:v>-214.41901059942813</c:v>
                </c:pt>
                <c:pt idx="115">
                  <c:v>-212.1612970723057</c:v>
                </c:pt>
                <c:pt idx="116">
                  <c:v>-209.88158908786636</c:v>
                </c:pt>
                <c:pt idx="117">
                  <c:v>-207.57950327437874</c:v>
                </c:pt>
                <c:pt idx="118">
                  <c:v>-205.25463844411235</c:v>
                </c:pt>
                <c:pt idx="119">
                  <c:v>-202.90657451259185</c:v>
                </c:pt>
                <c:pt idx="120">
                  <c:v>-200.53487132700238</c:v>
                </c:pt>
                <c:pt idx="121">
                  <c:v>-198.13906739427907</c:v>
                </c:pt>
                <c:pt idx="122">
                  <c:v>-195.71867849821601</c:v>
                </c:pt>
                <c:pt idx="123">
                  <c:v>-193.27319619354461</c:v>
                </c:pt>
                <c:pt idx="124">
                  <c:v>-190.80208616334096</c:v>
                </c:pt>
                <c:pt idx="125">
                  <c:v>-188.30478642427462</c:v>
                </c:pt>
                <c:pt idx="126">
                  <c:v>-185.78070536207892</c:v>
                </c:pt>
                <c:pt idx="127">
                  <c:v>-183.22921957713149</c:v>
                </c:pt>
                <c:pt idx="128">
                  <c:v>-180.64967151713734</c:v>
                </c:pt>
                <c:pt idx="129">
                  <c:v>-178.04136687050323</c:v>
                </c:pt>
                <c:pt idx="130">
                  <c:v>-175.40357169000404</c:v>
                </c:pt>
                <c:pt idx="131">
                  <c:v>-172.73550921162848</c:v>
                </c:pt>
                <c:pt idx="132">
                  <c:v>-170.03635632792057</c:v>
                </c:pt>
                <c:pt idx="133">
                  <c:v>-167.30523966849952</c:v>
                </c:pt>
                <c:pt idx="134">
                  <c:v>-164.54123123253723</c:v>
                </c:pt>
                <c:pt idx="135">
                  <c:v>-161.74334350848108</c:v>
                </c:pt>
                <c:pt idx="136">
                  <c:v>-158.91052400488906</c:v>
                </c:pt>
                <c:pt idx="137">
                  <c:v>-156.04164910241383</c:v>
                </c:pt>
                <c:pt idx="138">
                  <c:v>-153.13551712014939</c:v>
                </c:pt>
                <c:pt idx="139">
                  <c:v>-150.19084046896964</c:v>
                </c:pt>
                <c:pt idx="140">
                  <c:v>-147.20623673917385</c:v>
                </c:pt>
                <c:pt idx="141">
                  <c:v>-144.18021853840472</c:v>
                </c:pt>
                <c:pt idx="142">
                  <c:v>-141.11118185676656</c:v>
                </c:pt>
                <c:pt idx="143">
                  <c:v>-137.99739268709035</c:v>
                </c:pt>
                <c:pt idx="144">
                  <c:v>-134.83697156641483</c:v>
                </c:pt>
                <c:pt idx="145">
                  <c:v>-131.6278756259517</c:v>
                </c:pt>
                <c:pt idx="146">
                  <c:v>-128.36787763563086</c:v>
                </c:pt>
                <c:pt idx="147">
                  <c:v>-125.05454139825007</c:v>
                </c:pt>
                <c:pt idx="148">
                  <c:v>-121.68519267682855</c:v>
                </c:pt>
                <c:pt idx="149">
                  <c:v>-118.2568846122264</c:v>
                </c:pt>
                <c:pt idx="150">
                  <c:v>-114.76635628539084</c:v>
                </c:pt>
                <c:pt idx="151">
                  <c:v>-111.20998266918274</c:v>
                </c:pt>
                <c:pt idx="152">
                  <c:v>-107.58371365372788</c:v>
                </c:pt>
                <c:pt idx="153">
                  <c:v>-103.88299904935784</c:v>
                </c:pt>
                <c:pt idx="154">
                  <c:v>-100.10269536993547</c:v>
                </c:pt>
                <c:pt idx="155">
                  <c:v>-96.236948617080685</c:v>
                </c:pt>
                <c:pt idx="156">
                  <c:v>-92.27904496848673</c:v>
                </c:pt>
                <c:pt idx="157">
                  <c:v>-88.2212178064851</c:v>
                </c:pt>
                <c:pt idx="158">
                  <c:v>-84.05439421041163</c:v>
                </c:pt>
                <c:pt idx="159">
                  <c:v>-79.767855673039406</c:v>
                </c:pt>
                <c:pt idx="160">
                  <c:v>-75.348774224975699</c:v>
                </c:pt>
                <c:pt idx="161">
                  <c:v>-70.781562320194112</c:v>
                </c:pt>
                <c:pt idx="162">
                  <c:v>-66.046934834702157</c:v>
                </c:pt>
                <c:pt idx="163">
                  <c:v>-61.120507974838212</c:v>
                </c:pt>
                <c:pt idx="164">
                  <c:v>-55.970616576793901</c:v>
                </c:pt>
                <c:pt idx="165">
                  <c:v>-50.5547315812832</c:v>
                </c:pt>
                <c:pt idx="166">
                  <c:v>-44.813174595073221</c:v>
                </c:pt>
                <c:pt idx="167">
                  <c:v>-38.657070080709609</c:v>
                </c:pt>
                <c:pt idx="168">
                  <c:v>-31.942202187431882</c:v>
                </c:pt>
                <c:pt idx="169">
                  <c:v>-24.400437610198441</c:v>
                </c:pt>
                <c:pt idx="170">
                  <c:v>-15.386378763167039</c:v>
                </c:pt>
                <c:pt idx="171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Foglio2!$P$4:$P$175</c:f>
              <c:numCache>
                <c:formatCode>0.0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xVal>
          <c:yVal>
            <c:numRef>
              <c:f>Foglio2!$Q$4:$Q$175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362.10150745940484</c:v>
                </c:pt>
                <c:pt idx="2">
                  <c:v>362.10150745940484</c:v>
                </c:pt>
                <c:pt idx="3">
                  <c:v>362.10150745940484</c:v>
                </c:pt>
                <c:pt idx="4">
                  <c:v>362.10150745940484</c:v>
                </c:pt>
                <c:pt idx="5">
                  <c:v>362.10150745940484</c:v>
                </c:pt>
                <c:pt idx="6">
                  <c:v>362.10150745940484</c:v>
                </c:pt>
                <c:pt idx="7">
                  <c:v>362.10150745940484</c:v>
                </c:pt>
                <c:pt idx="8">
                  <c:v>362.10150745940484</c:v>
                </c:pt>
                <c:pt idx="9">
                  <c:v>362.10150745940484</c:v>
                </c:pt>
                <c:pt idx="10">
                  <c:v>362.10150745940484</c:v>
                </c:pt>
                <c:pt idx="11">
                  <c:v>362.10150745940484</c:v>
                </c:pt>
                <c:pt idx="12">
                  <c:v>362.10150745940484</c:v>
                </c:pt>
                <c:pt idx="13">
                  <c:v>362.10150745940484</c:v>
                </c:pt>
                <c:pt idx="14">
                  <c:v>362.10150745940484</c:v>
                </c:pt>
                <c:pt idx="15">
                  <c:v>362.10150745940484</c:v>
                </c:pt>
                <c:pt idx="16">
                  <c:v>362.10150745940484</c:v>
                </c:pt>
                <c:pt idx="17">
                  <c:v>362.10150745940484</c:v>
                </c:pt>
                <c:pt idx="18">
                  <c:v>362.10150745940484</c:v>
                </c:pt>
                <c:pt idx="19">
                  <c:v>362.10150745940484</c:v>
                </c:pt>
                <c:pt idx="20">
                  <c:v>362.10150745940484</c:v>
                </c:pt>
                <c:pt idx="21">
                  <c:v>362.10150745940484</c:v>
                </c:pt>
                <c:pt idx="22">
                  <c:v>362.10150745940484</c:v>
                </c:pt>
                <c:pt idx="23">
                  <c:v>362.10150745940484</c:v>
                </c:pt>
                <c:pt idx="24">
                  <c:v>362.10150745940484</c:v>
                </c:pt>
                <c:pt idx="25">
                  <c:v>362.10150745940484</c:v>
                </c:pt>
                <c:pt idx="26">
                  <c:v>362.10150745940484</c:v>
                </c:pt>
                <c:pt idx="27">
                  <c:v>362.10150745940484</c:v>
                </c:pt>
                <c:pt idx="28">
                  <c:v>362.10150745940484</c:v>
                </c:pt>
                <c:pt idx="29">
                  <c:v>362.10150745940484</c:v>
                </c:pt>
                <c:pt idx="30">
                  <c:v>362.10150745940484</c:v>
                </c:pt>
                <c:pt idx="31">
                  <c:v>362.10150745940484</c:v>
                </c:pt>
                <c:pt idx="32">
                  <c:v>362.10150745940484</c:v>
                </c:pt>
                <c:pt idx="33">
                  <c:v>362.10150745940484</c:v>
                </c:pt>
                <c:pt idx="34">
                  <c:v>362.10150745940484</c:v>
                </c:pt>
                <c:pt idx="35">
                  <c:v>362.10150745940484</c:v>
                </c:pt>
                <c:pt idx="36">
                  <c:v>362.10150745940484</c:v>
                </c:pt>
                <c:pt idx="37">
                  <c:v>362.10150745940484</c:v>
                </c:pt>
                <c:pt idx="38">
                  <c:v>362.10150745940484</c:v>
                </c:pt>
                <c:pt idx="39">
                  <c:v>362.10150745940484</c:v>
                </c:pt>
                <c:pt idx="40">
                  <c:v>362.10150745940484</c:v>
                </c:pt>
                <c:pt idx="41">
                  <c:v>362.10150745940484</c:v>
                </c:pt>
                <c:pt idx="42">
                  <c:v>362.10150745940484</c:v>
                </c:pt>
                <c:pt idx="43">
                  <c:v>362.10150745940484</c:v>
                </c:pt>
                <c:pt idx="44">
                  <c:v>362.10150745940484</c:v>
                </c:pt>
                <c:pt idx="45">
                  <c:v>362.10150745940484</c:v>
                </c:pt>
                <c:pt idx="46">
                  <c:v>362.10150745940484</c:v>
                </c:pt>
                <c:pt idx="47">
                  <c:v>362.10150745940484</c:v>
                </c:pt>
                <c:pt idx="48">
                  <c:v>362.10150745940484</c:v>
                </c:pt>
                <c:pt idx="49">
                  <c:v>362.10150745940484</c:v>
                </c:pt>
                <c:pt idx="50">
                  <c:v>362.10150745940484</c:v>
                </c:pt>
                <c:pt idx="51">
                  <c:v>362.10150745940484</c:v>
                </c:pt>
                <c:pt idx="52">
                  <c:v>362.10150745940484</c:v>
                </c:pt>
                <c:pt idx="53">
                  <c:v>362.10150745940484</c:v>
                </c:pt>
                <c:pt idx="54">
                  <c:v>362.10150745940484</c:v>
                </c:pt>
                <c:pt idx="55">
                  <c:v>362.10150745940484</c:v>
                </c:pt>
                <c:pt idx="56">
                  <c:v>362.10150745940484</c:v>
                </c:pt>
                <c:pt idx="57">
                  <c:v>362.10150745940484</c:v>
                </c:pt>
                <c:pt idx="58">
                  <c:v>362.10150745940484</c:v>
                </c:pt>
                <c:pt idx="59">
                  <c:v>362.10150745940484</c:v>
                </c:pt>
                <c:pt idx="60">
                  <c:v>362.10150745940484</c:v>
                </c:pt>
                <c:pt idx="61">
                  <c:v>362.10150745940484</c:v>
                </c:pt>
                <c:pt idx="62">
                  <c:v>362.10150745940484</c:v>
                </c:pt>
                <c:pt idx="63">
                  <c:v>362.10150745940484</c:v>
                </c:pt>
                <c:pt idx="64">
                  <c:v>362.10150745940484</c:v>
                </c:pt>
                <c:pt idx="65">
                  <c:v>362.10150745940484</c:v>
                </c:pt>
                <c:pt idx="66">
                  <c:v>362.10150745940484</c:v>
                </c:pt>
                <c:pt idx="67">
                  <c:v>362.10150745940484</c:v>
                </c:pt>
                <c:pt idx="68">
                  <c:v>362.10150745940484</c:v>
                </c:pt>
                <c:pt idx="69">
                  <c:v>362.10150745940484</c:v>
                </c:pt>
                <c:pt idx="70">
                  <c:v>362.10150745940484</c:v>
                </c:pt>
                <c:pt idx="71">
                  <c:v>362.10150745940484</c:v>
                </c:pt>
                <c:pt idx="72">
                  <c:v>362.10150745940484</c:v>
                </c:pt>
                <c:pt idx="73">
                  <c:v>362.10150745940484</c:v>
                </c:pt>
                <c:pt idx="74">
                  <c:v>362.10150745940484</c:v>
                </c:pt>
                <c:pt idx="75">
                  <c:v>362.10150745940484</c:v>
                </c:pt>
                <c:pt idx="76">
                  <c:v>362.10150745940484</c:v>
                </c:pt>
                <c:pt idx="77">
                  <c:v>362.10150745940484</c:v>
                </c:pt>
                <c:pt idx="78">
                  <c:v>362.10150745940484</c:v>
                </c:pt>
                <c:pt idx="79">
                  <c:v>362.10150745940484</c:v>
                </c:pt>
                <c:pt idx="80">
                  <c:v>362.10150745940484</c:v>
                </c:pt>
                <c:pt idx="81">
                  <c:v>362.10150745940484</c:v>
                </c:pt>
                <c:pt idx="82">
                  <c:v>362.10150745940484</c:v>
                </c:pt>
                <c:pt idx="83">
                  <c:v>362.10150745940484</c:v>
                </c:pt>
                <c:pt idx="84">
                  <c:v>362.10150745940484</c:v>
                </c:pt>
                <c:pt idx="85">
                  <c:v>362.10150745940484</c:v>
                </c:pt>
                <c:pt idx="86">
                  <c:v>362.10150745940484</c:v>
                </c:pt>
                <c:pt idx="87">
                  <c:v>362.10150745940484</c:v>
                </c:pt>
                <c:pt idx="88">
                  <c:v>362.10150745940484</c:v>
                </c:pt>
                <c:pt idx="89">
                  <c:v>362.10150745940484</c:v>
                </c:pt>
                <c:pt idx="90">
                  <c:v>362.10150745940484</c:v>
                </c:pt>
                <c:pt idx="91">
                  <c:v>362.10150745940484</c:v>
                </c:pt>
                <c:pt idx="92">
                  <c:v>362.10150745940484</c:v>
                </c:pt>
                <c:pt idx="93">
                  <c:v>362.10150745940484</c:v>
                </c:pt>
                <c:pt idx="94">
                  <c:v>362.10150745940484</c:v>
                </c:pt>
                <c:pt idx="95">
                  <c:v>362.10150745940484</c:v>
                </c:pt>
                <c:pt idx="96">
                  <c:v>362.10150745940484</c:v>
                </c:pt>
                <c:pt idx="97">
                  <c:v>362.10150745940484</c:v>
                </c:pt>
                <c:pt idx="98">
                  <c:v>362.10150745940484</c:v>
                </c:pt>
                <c:pt idx="99">
                  <c:v>362.10150745940484</c:v>
                </c:pt>
                <c:pt idx="100">
                  <c:v>362.10150745940484</c:v>
                </c:pt>
                <c:pt idx="101">
                  <c:v>362.10150745940484</c:v>
                </c:pt>
                <c:pt idx="102">
                  <c:v>362.10150745940484</c:v>
                </c:pt>
                <c:pt idx="103">
                  <c:v>362.10150745940484</c:v>
                </c:pt>
                <c:pt idx="104">
                  <c:v>362.10150745940484</c:v>
                </c:pt>
                <c:pt idx="105">
                  <c:v>362.10150745940484</c:v>
                </c:pt>
                <c:pt idx="106">
                  <c:v>362.10150745940484</c:v>
                </c:pt>
                <c:pt idx="107">
                  <c:v>362.10150745940484</c:v>
                </c:pt>
                <c:pt idx="108">
                  <c:v>362.10150745940484</c:v>
                </c:pt>
                <c:pt idx="109">
                  <c:v>362.10150745940484</c:v>
                </c:pt>
                <c:pt idx="110">
                  <c:v>362.10150745940484</c:v>
                </c:pt>
                <c:pt idx="111">
                  <c:v>362.10150745940484</c:v>
                </c:pt>
                <c:pt idx="112">
                  <c:v>362.10150745940484</c:v>
                </c:pt>
                <c:pt idx="113">
                  <c:v>362.10150745940484</c:v>
                </c:pt>
                <c:pt idx="114">
                  <c:v>362.10150745940484</c:v>
                </c:pt>
                <c:pt idx="115">
                  <c:v>362.10150745940484</c:v>
                </c:pt>
                <c:pt idx="116">
                  <c:v>362.10150745940484</c:v>
                </c:pt>
                <c:pt idx="117">
                  <c:v>362.10150745940484</c:v>
                </c:pt>
                <c:pt idx="118">
                  <c:v>362.10150745940484</c:v>
                </c:pt>
                <c:pt idx="119">
                  <c:v>362.10150745940484</c:v>
                </c:pt>
                <c:pt idx="120">
                  <c:v>362.10150745940484</c:v>
                </c:pt>
                <c:pt idx="121">
                  <c:v>362.10150745940484</c:v>
                </c:pt>
                <c:pt idx="122">
                  <c:v>362.10150745940484</c:v>
                </c:pt>
                <c:pt idx="123">
                  <c:v>362.10150745940484</c:v>
                </c:pt>
                <c:pt idx="124">
                  <c:v>362.10150745940484</c:v>
                </c:pt>
                <c:pt idx="125">
                  <c:v>362.10150745940484</c:v>
                </c:pt>
                <c:pt idx="126">
                  <c:v>362.10150745940484</c:v>
                </c:pt>
                <c:pt idx="127">
                  <c:v>362.10150745940484</c:v>
                </c:pt>
                <c:pt idx="128">
                  <c:v>362.10150745940484</c:v>
                </c:pt>
                <c:pt idx="129">
                  <c:v>362.10150745940484</c:v>
                </c:pt>
                <c:pt idx="130">
                  <c:v>362.10150745940484</c:v>
                </c:pt>
                <c:pt idx="131">
                  <c:v>362.10150745940484</c:v>
                </c:pt>
                <c:pt idx="132">
                  <c:v>362.10150745940484</c:v>
                </c:pt>
                <c:pt idx="133">
                  <c:v>362.10150745940484</c:v>
                </c:pt>
                <c:pt idx="134">
                  <c:v>362.10150745940484</c:v>
                </c:pt>
                <c:pt idx="135">
                  <c:v>362.10150745940484</c:v>
                </c:pt>
                <c:pt idx="136">
                  <c:v>362.10150745940484</c:v>
                </c:pt>
                <c:pt idx="137">
                  <c:v>362.10150745940484</c:v>
                </c:pt>
                <c:pt idx="138">
                  <c:v>362.10150745940484</c:v>
                </c:pt>
                <c:pt idx="139">
                  <c:v>362.10150745940484</c:v>
                </c:pt>
                <c:pt idx="140">
                  <c:v>362.10150745940484</c:v>
                </c:pt>
                <c:pt idx="141">
                  <c:v>362.10150745940484</c:v>
                </c:pt>
                <c:pt idx="142">
                  <c:v>362.10150745940484</c:v>
                </c:pt>
                <c:pt idx="143">
                  <c:v>362.10150745940484</c:v>
                </c:pt>
                <c:pt idx="144">
                  <c:v>362.10150745940484</c:v>
                </c:pt>
                <c:pt idx="145">
                  <c:v>362.10150745940484</c:v>
                </c:pt>
                <c:pt idx="146">
                  <c:v>362.10150745940484</c:v>
                </c:pt>
                <c:pt idx="147">
                  <c:v>362.10150745940484</c:v>
                </c:pt>
                <c:pt idx="148">
                  <c:v>362.10150745940484</c:v>
                </c:pt>
                <c:pt idx="149">
                  <c:v>362.10150745940484</c:v>
                </c:pt>
                <c:pt idx="150">
                  <c:v>362.10150745940484</c:v>
                </c:pt>
                <c:pt idx="151">
                  <c:v>362.10150745940484</c:v>
                </c:pt>
                <c:pt idx="152">
                  <c:v>362.10150745940484</c:v>
                </c:pt>
                <c:pt idx="153">
                  <c:v>362.10150745940484</c:v>
                </c:pt>
                <c:pt idx="154">
                  <c:v>362.10150745940484</c:v>
                </c:pt>
                <c:pt idx="155">
                  <c:v>362.10150745940484</c:v>
                </c:pt>
                <c:pt idx="156">
                  <c:v>362.10150745940484</c:v>
                </c:pt>
                <c:pt idx="157">
                  <c:v>362.10150745940484</c:v>
                </c:pt>
                <c:pt idx="158">
                  <c:v>362.10150745940484</c:v>
                </c:pt>
                <c:pt idx="159">
                  <c:v>362.10150745940484</c:v>
                </c:pt>
                <c:pt idx="160">
                  <c:v>362.10150745940484</c:v>
                </c:pt>
                <c:pt idx="161">
                  <c:v>362.10150745940484</c:v>
                </c:pt>
                <c:pt idx="162">
                  <c:v>362.10150745940484</c:v>
                </c:pt>
                <c:pt idx="163">
                  <c:v>362.10150745940484</c:v>
                </c:pt>
                <c:pt idx="164">
                  <c:v>362.10150745940484</c:v>
                </c:pt>
                <c:pt idx="165">
                  <c:v>362.10150745940484</c:v>
                </c:pt>
                <c:pt idx="166">
                  <c:v>362.10150745940484</c:v>
                </c:pt>
                <c:pt idx="167">
                  <c:v>362.10150745940484</c:v>
                </c:pt>
                <c:pt idx="168">
                  <c:v>362.10150745940484</c:v>
                </c:pt>
                <c:pt idx="169">
                  <c:v>362.10150745940484</c:v>
                </c:pt>
                <c:pt idx="170">
                  <c:v>362.10150745940484</c:v>
                </c:pt>
                <c:pt idx="171">
                  <c:v>362.10150745940484</c:v>
                </c:pt>
              </c:numCache>
            </c:numRef>
          </c:yVal>
          <c:smooth val="1"/>
        </c:ser>
        <c:ser>
          <c:idx val="6"/>
          <c:order val="6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Foglio2!$R$4:$R$175</c:f>
              <c:numCache>
                <c:formatCode>0.0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xVal>
          <c:yVal>
            <c:numRef>
              <c:f>Foglio2!$S$4:$S$175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362.10150745940484</c:v>
                </c:pt>
                <c:pt idx="2">
                  <c:v>362.10150745940484</c:v>
                </c:pt>
                <c:pt idx="3">
                  <c:v>362.10150745940484</c:v>
                </c:pt>
                <c:pt idx="4">
                  <c:v>362.10150745940484</c:v>
                </c:pt>
                <c:pt idx="5">
                  <c:v>362.10150745940484</c:v>
                </c:pt>
                <c:pt idx="6">
                  <c:v>362.10150745940484</c:v>
                </c:pt>
                <c:pt idx="7">
                  <c:v>362.10150745940484</c:v>
                </c:pt>
                <c:pt idx="8">
                  <c:v>362.10150745940484</c:v>
                </c:pt>
                <c:pt idx="9">
                  <c:v>362.10150745940484</c:v>
                </c:pt>
                <c:pt idx="10">
                  <c:v>362.10150745940484</c:v>
                </c:pt>
                <c:pt idx="11">
                  <c:v>362.10150745940484</c:v>
                </c:pt>
                <c:pt idx="12">
                  <c:v>362.10150745940484</c:v>
                </c:pt>
                <c:pt idx="13">
                  <c:v>362.10150745940484</c:v>
                </c:pt>
                <c:pt idx="14">
                  <c:v>362.10150745940484</c:v>
                </c:pt>
                <c:pt idx="15">
                  <c:v>362.10150745940484</c:v>
                </c:pt>
                <c:pt idx="16">
                  <c:v>362.10150745940484</c:v>
                </c:pt>
                <c:pt idx="17">
                  <c:v>362.10150745940484</c:v>
                </c:pt>
                <c:pt idx="18">
                  <c:v>362.10150745940484</c:v>
                </c:pt>
                <c:pt idx="19">
                  <c:v>362.10150745940484</c:v>
                </c:pt>
                <c:pt idx="20">
                  <c:v>362.10150745940484</c:v>
                </c:pt>
                <c:pt idx="21">
                  <c:v>362.10150745940484</c:v>
                </c:pt>
                <c:pt idx="22">
                  <c:v>362.10150745940484</c:v>
                </c:pt>
                <c:pt idx="23">
                  <c:v>362.10150745940484</c:v>
                </c:pt>
                <c:pt idx="24">
                  <c:v>362.10150745940484</c:v>
                </c:pt>
                <c:pt idx="25">
                  <c:v>362.10150745940484</c:v>
                </c:pt>
                <c:pt idx="26">
                  <c:v>362.10150745940484</c:v>
                </c:pt>
                <c:pt idx="27">
                  <c:v>362.10150745940484</c:v>
                </c:pt>
                <c:pt idx="28">
                  <c:v>362.10150745940484</c:v>
                </c:pt>
                <c:pt idx="29">
                  <c:v>362.10150745940484</c:v>
                </c:pt>
                <c:pt idx="30">
                  <c:v>362.10150745940484</c:v>
                </c:pt>
                <c:pt idx="31">
                  <c:v>362.10150745940484</c:v>
                </c:pt>
                <c:pt idx="32">
                  <c:v>362.10150745940484</c:v>
                </c:pt>
                <c:pt idx="33">
                  <c:v>362.10150745940484</c:v>
                </c:pt>
                <c:pt idx="34">
                  <c:v>362.10150745940484</c:v>
                </c:pt>
                <c:pt idx="35">
                  <c:v>362.10150745940484</c:v>
                </c:pt>
                <c:pt idx="36">
                  <c:v>362.10150745940484</c:v>
                </c:pt>
                <c:pt idx="37">
                  <c:v>362.10150745940484</c:v>
                </c:pt>
                <c:pt idx="38">
                  <c:v>362.10150745940484</c:v>
                </c:pt>
                <c:pt idx="39">
                  <c:v>362.10150745940484</c:v>
                </c:pt>
                <c:pt idx="40">
                  <c:v>362.10150745940484</c:v>
                </c:pt>
                <c:pt idx="41">
                  <c:v>362.10150745940484</c:v>
                </c:pt>
                <c:pt idx="42">
                  <c:v>362.10150745940484</c:v>
                </c:pt>
                <c:pt idx="43">
                  <c:v>362.10150745940484</c:v>
                </c:pt>
                <c:pt idx="44">
                  <c:v>362.10150745940484</c:v>
                </c:pt>
                <c:pt idx="45">
                  <c:v>362.10150745940484</c:v>
                </c:pt>
                <c:pt idx="46">
                  <c:v>362.10150745940484</c:v>
                </c:pt>
                <c:pt idx="47">
                  <c:v>362.10150745940484</c:v>
                </c:pt>
                <c:pt idx="48">
                  <c:v>362.10150745940484</c:v>
                </c:pt>
                <c:pt idx="49">
                  <c:v>362.10150745940484</c:v>
                </c:pt>
                <c:pt idx="50">
                  <c:v>362.10150745940484</c:v>
                </c:pt>
                <c:pt idx="51">
                  <c:v>362.10150745940484</c:v>
                </c:pt>
                <c:pt idx="52">
                  <c:v>362.10150745940484</c:v>
                </c:pt>
                <c:pt idx="53">
                  <c:v>362.10150745940484</c:v>
                </c:pt>
                <c:pt idx="54">
                  <c:v>362.10150745940484</c:v>
                </c:pt>
                <c:pt idx="55">
                  <c:v>362.10150745940484</c:v>
                </c:pt>
                <c:pt idx="56">
                  <c:v>362.10150745940484</c:v>
                </c:pt>
                <c:pt idx="57">
                  <c:v>362.10150745940484</c:v>
                </c:pt>
                <c:pt idx="58">
                  <c:v>362.10150745940484</c:v>
                </c:pt>
                <c:pt idx="59">
                  <c:v>362.10150745940484</c:v>
                </c:pt>
                <c:pt idx="60">
                  <c:v>362.10150745940484</c:v>
                </c:pt>
                <c:pt idx="61">
                  <c:v>362.10150745940484</c:v>
                </c:pt>
                <c:pt idx="62">
                  <c:v>362.10150745940484</c:v>
                </c:pt>
                <c:pt idx="63">
                  <c:v>362.10150745940484</c:v>
                </c:pt>
                <c:pt idx="64">
                  <c:v>362.10150745940484</c:v>
                </c:pt>
                <c:pt idx="65">
                  <c:v>362.10150745940484</c:v>
                </c:pt>
                <c:pt idx="66">
                  <c:v>362.10150745940484</c:v>
                </c:pt>
                <c:pt idx="67">
                  <c:v>362.10150745940484</c:v>
                </c:pt>
                <c:pt idx="68">
                  <c:v>362.10150745940484</c:v>
                </c:pt>
                <c:pt idx="69">
                  <c:v>362.10150745940484</c:v>
                </c:pt>
                <c:pt idx="70">
                  <c:v>362.10150745940484</c:v>
                </c:pt>
                <c:pt idx="71">
                  <c:v>362.10150745940484</c:v>
                </c:pt>
                <c:pt idx="72">
                  <c:v>362.10150745940484</c:v>
                </c:pt>
                <c:pt idx="73">
                  <c:v>362.10150745940484</c:v>
                </c:pt>
                <c:pt idx="74">
                  <c:v>362.10150745940484</c:v>
                </c:pt>
                <c:pt idx="75">
                  <c:v>362.10150745940484</c:v>
                </c:pt>
                <c:pt idx="76">
                  <c:v>362.10150745940484</c:v>
                </c:pt>
                <c:pt idx="77">
                  <c:v>362.10150745940484</c:v>
                </c:pt>
                <c:pt idx="78">
                  <c:v>362.10150745940484</c:v>
                </c:pt>
                <c:pt idx="79">
                  <c:v>362.10150745940484</c:v>
                </c:pt>
                <c:pt idx="80">
                  <c:v>362.10150745940484</c:v>
                </c:pt>
                <c:pt idx="81">
                  <c:v>362.10150745940484</c:v>
                </c:pt>
                <c:pt idx="82">
                  <c:v>362.10150745940484</c:v>
                </c:pt>
                <c:pt idx="83">
                  <c:v>362.10150745940484</c:v>
                </c:pt>
                <c:pt idx="84">
                  <c:v>362.10150745940484</c:v>
                </c:pt>
                <c:pt idx="85">
                  <c:v>362.10150745940484</c:v>
                </c:pt>
                <c:pt idx="86">
                  <c:v>362.10150745940484</c:v>
                </c:pt>
                <c:pt idx="87">
                  <c:v>362.10150745940484</c:v>
                </c:pt>
                <c:pt idx="88">
                  <c:v>362.10150745940484</c:v>
                </c:pt>
                <c:pt idx="89">
                  <c:v>362.10150745940484</c:v>
                </c:pt>
                <c:pt idx="90">
                  <c:v>362.10150745940484</c:v>
                </c:pt>
                <c:pt idx="91">
                  <c:v>362.10150745940484</c:v>
                </c:pt>
                <c:pt idx="92">
                  <c:v>362.10150745940484</c:v>
                </c:pt>
                <c:pt idx="93">
                  <c:v>362.10150745940484</c:v>
                </c:pt>
                <c:pt idx="94">
                  <c:v>362.10150745940484</c:v>
                </c:pt>
                <c:pt idx="95">
                  <c:v>362.10150745940484</c:v>
                </c:pt>
                <c:pt idx="96">
                  <c:v>362.10150745940484</c:v>
                </c:pt>
                <c:pt idx="97">
                  <c:v>362.10150745940484</c:v>
                </c:pt>
                <c:pt idx="98">
                  <c:v>362.10150745940484</c:v>
                </c:pt>
                <c:pt idx="99">
                  <c:v>362.10150745940484</c:v>
                </c:pt>
                <c:pt idx="100">
                  <c:v>362.10150745940484</c:v>
                </c:pt>
                <c:pt idx="101">
                  <c:v>362.10150745940484</c:v>
                </c:pt>
                <c:pt idx="102">
                  <c:v>362.10150745940484</c:v>
                </c:pt>
                <c:pt idx="103">
                  <c:v>362.10150745940484</c:v>
                </c:pt>
                <c:pt idx="104">
                  <c:v>362.10150745940484</c:v>
                </c:pt>
                <c:pt idx="105">
                  <c:v>362.10150745940484</c:v>
                </c:pt>
                <c:pt idx="106">
                  <c:v>362.10150745940484</c:v>
                </c:pt>
                <c:pt idx="107">
                  <c:v>362.10150745940484</c:v>
                </c:pt>
                <c:pt idx="108">
                  <c:v>362.10150745940484</c:v>
                </c:pt>
                <c:pt idx="109">
                  <c:v>362.10150745940484</c:v>
                </c:pt>
                <c:pt idx="110">
                  <c:v>362.10150745940484</c:v>
                </c:pt>
                <c:pt idx="111">
                  <c:v>362.10150745940484</c:v>
                </c:pt>
                <c:pt idx="112">
                  <c:v>362.10150745940484</c:v>
                </c:pt>
                <c:pt idx="113">
                  <c:v>362.10150745940484</c:v>
                </c:pt>
                <c:pt idx="114">
                  <c:v>362.10150745940484</c:v>
                </c:pt>
                <c:pt idx="115">
                  <c:v>362.10150745940484</c:v>
                </c:pt>
                <c:pt idx="116">
                  <c:v>362.10150745940484</c:v>
                </c:pt>
                <c:pt idx="117">
                  <c:v>362.10150745940484</c:v>
                </c:pt>
                <c:pt idx="118">
                  <c:v>362.10150745940484</c:v>
                </c:pt>
                <c:pt idx="119">
                  <c:v>362.10150745940484</c:v>
                </c:pt>
                <c:pt idx="120">
                  <c:v>362.10150745940484</c:v>
                </c:pt>
                <c:pt idx="121">
                  <c:v>362.10150745940484</c:v>
                </c:pt>
                <c:pt idx="122">
                  <c:v>362.10150745940484</c:v>
                </c:pt>
                <c:pt idx="123">
                  <c:v>362.10150745940484</c:v>
                </c:pt>
                <c:pt idx="124">
                  <c:v>362.10150745940484</c:v>
                </c:pt>
                <c:pt idx="125">
                  <c:v>362.10150745940484</c:v>
                </c:pt>
                <c:pt idx="126">
                  <c:v>362.10150745940484</c:v>
                </c:pt>
                <c:pt idx="127">
                  <c:v>362.10150745940484</c:v>
                </c:pt>
                <c:pt idx="128">
                  <c:v>362.10150745940484</c:v>
                </c:pt>
                <c:pt idx="129">
                  <c:v>362.10150745940484</c:v>
                </c:pt>
                <c:pt idx="130">
                  <c:v>362.10150745940484</c:v>
                </c:pt>
                <c:pt idx="131">
                  <c:v>362.10150745940484</c:v>
                </c:pt>
                <c:pt idx="132">
                  <c:v>362.10150745940484</c:v>
                </c:pt>
                <c:pt idx="133">
                  <c:v>362.10150745940484</c:v>
                </c:pt>
                <c:pt idx="134">
                  <c:v>362.10150745940484</c:v>
                </c:pt>
                <c:pt idx="135">
                  <c:v>362.10150745940484</c:v>
                </c:pt>
                <c:pt idx="136">
                  <c:v>362.10150745940484</c:v>
                </c:pt>
                <c:pt idx="137">
                  <c:v>362.10150745940484</c:v>
                </c:pt>
                <c:pt idx="138">
                  <c:v>362.10150745940484</c:v>
                </c:pt>
                <c:pt idx="139">
                  <c:v>362.10150745940484</c:v>
                </c:pt>
                <c:pt idx="140">
                  <c:v>362.10150745940484</c:v>
                </c:pt>
                <c:pt idx="141">
                  <c:v>362.10150745940484</c:v>
                </c:pt>
                <c:pt idx="142">
                  <c:v>362.10150745940484</c:v>
                </c:pt>
                <c:pt idx="143">
                  <c:v>362.10150745940484</c:v>
                </c:pt>
                <c:pt idx="144">
                  <c:v>362.10150745940484</c:v>
                </c:pt>
                <c:pt idx="145">
                  <c:v>362.10150745940484</c:v>
                </c:pt>
                <c:pt idx="146">
                  <c:v>362.10150745940484</c:v>
                </c:pt>
                <c:pt idx="147">
                  <c:v>362.10150745940484</c:v>
                </c:pt>
                <c:pt idx="148">
                  <c:v>362.10150745940484</c:v>
                </c:pt>
                <c:pt idx="149">
                  <c:v>362.10150745940484</c:v>
                </c:pt>
                <c:pt idx="150">
                  <c:v>362.10150745940484</c:v>
                </c:pt>
                <c:pt idx="151">
                  <c:v>362.10150745940484</c:v>
                </c:pt>
                <c:pt idx="152">
                  <c:v>362.10150745940484</c:v>
                </c:pt>
                <c:pt idx="153">
                  <c:v>362.10150745940484</c:v>
                </c:pt>
                <c:pt idx="154">
                  <c:v>362.10150745940484</c:v>
                </c:pt>
                <c:pt idx="155">
                  <c:v>362.10150745940484</c:v>
                </c:pt>
                <c:pt idx="156">
                  <c:v>362.10150745940484</c:v>
                </c:pt>
                <c:pt idx="157">
                  <c:v>362.10150745940484</c:v>
                </c:pt>
                <c:pt idx="158">
                  <c:v>362.10150745940484</c:v>
                </c:pt>
                <c:pt idx="159">
                  <c:v>362.10150745940484</c:v>
                </c:pt>
                <c:pt idx="160">
                  <c:v>362.10150745940484</c:v>
                </c:pt>
                <c:pt idx="161">
                  <c:v>362.10150745940484</c:v>
                </c:pt>
                <c:pt idx="162">
                  <c:v>362.10150745940484</c:v>
                </c:pt>
                <c:pt idx="163">
                  <c:v>362.10150745940484</c:v>
                </c:pt>
                <c:pt idx="164">
                  <c:v>362.10150745940484</c:v>
                </c:pt>
                <c:pt idx="165">
                  <c:v>362.10150745940484</c:v>
                </c:pt>
                <c:pt idx="166">
                  <c:v>362.10150745940484</c:v>
                </c:pt>
                <c:pt idx="167">
                  <c:v>362.10150745940484</c:v>
                </c:pt>
                <c:pt idx="168">
                  <c:v>362.10150745940484</c:v>
                </c:pt>
                <c:pt idx="169">
                  <c:v>362.10150745940484</c:v>
                </c:pt>
                <c:pt idx="170">
                  <c:v>362.10150745940484</c:v>
                </c:pt>
                <c:pt idx="171">
                  <c:v>362.10150745940484</c:v>
                </c:pt>
              </c:numCache>
            </c:numRef>
          </c:yVal>
          <c:smooth val="1"/>
        </c:ser>
        <c:ser>
          <c:idx val="7"/>
          <c:order val="7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Foglio2!$T$4:$T$175</c:f>
              <c:numCache>
                <c:formatCode>0.0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xVal>
          <c:yVal>
            <c:numRef>
              <c:f>Foglio2!$U$4:$U$175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-362.10150745940484</c:v>
                </c:pt>
                <c:pt idx="2">
                  <c:v>-362.10150745940484</c:v>
                </c:pt>
                <c:pt idx="3">
                  <c:v>-362.10150745940484</c:v>
                </c:pt>
                <c:pt idx="4">
                  <c:v>-362.10150745940484</c:v>
                </c:pt>
                <c:pt idx="5">
                  <c:v>-362.10150745940484</c:v>
                </c:pt>
                <c:pt idx="6">
                  <c:v>-362.10150745940484</c:v>
                </c:pt>
                <c:pt idx="7">
                  <c:v>-362.10150745940484</c:v>
                </c:pt>
                <c:pt idx="8">
                  <c:v>-362.10150745940484</c:v>
                </c:pt>
                <c:pt idx="9">
                  <c:v>-362.10150745940484</c:v>
                </c:pt>
                <c:pt idx="10">
                  <c:v>-362.10150745940484</c:v>
                </c:pt>
                <c:pt idx="11">
                  <c:v>-362.10150745940484</c:v>
                </c:pt>
                <c:pt idx="12">
                  <c:v>-362.10150745940484</c:v>
                </c:pt>
                <c:pt idx="13">
                  <c:v>-362.10150745940484</c:v>
                </c:pt>
                <c:pt idx="14">
                  <c:v>-362.10150745940484</c:v>
                </c:pt>
                <c:pt idx="15">
                  <c:v>-362.10150745940484</c:v>
                </c:pt>
                <c:pt idx="16">
                  <c:v>-362.10150745940484</c:v>
                </c:pt>
                <c:pt idx="17">
                  <c:v>-362.10150745940484</c:v>
                </c:pt>
                <c:pt idx="18">
                  <c:v>-362.10150745940484</c:v>
                </c:pt>
                <c:pt idx="19">
                  <c:v>-362.10150745940484</c:v>
                </c:pt>
                <c:pt idx="20">
                  <c:v>-362.10150745940484</c:v>
                </c:pt>
                <c:pt idx="21">
                  <c:v>-362.10150745940484</c:v>
                </c:pt>
                <c:pt idx="22">
                  <c:v>-362.10150745940484</c:v>
                </c:pt>
                <c:pt idx="23">
                  <c:v>-362.10150745940484</c:v>
                </c:pt>
                <c:pt idx="24">
                  <c:v>-362.10150745940484</c:v>
                </c:pt>
                <c:pt idx="25">
                  <c:v>-362.10150745940484</c:v>
                </c:pt>
                <c:pt idx="26">
                  <c:v>-362.10150745940484</c:v>
                </c:pt>
                <c:pt idx="27">
                  <c:v>-362.10150745940484</c:v>
                </c:pt>
                <c:pt idx="28">
                  <c:v>-362.10150745940484</c:v>
                </c:pt>
                <c:pt idx="29">
                  <c:v>-362.10150745940484</c:v>
                </c:pt>
                <c:pt idx="30">
                  <c:v>-362.10150745940484</c:v>
                </c:pt>
                <c:pt idx="31">
                  <c:v>-362.10150745940484</c:v>
                </c:pt>
                <c:pt idx="32">
                  <c:v>-362.10150745940484</c:v>
                </c:pt>
                <c:pt idx="33">
                  <c:v>-362.10150745940484</c:v>
                </c:pt>
                <c:pt idx="34">
                  <c:v>-362.10150745940484</c:v>
                </c:pt>
                <c:pt idx="35">
                  <c:v>-362.10150745940484</c:v>
                </c:pt>
                <c:pt idx="36">
                  <c:v>-362.10150745940484</c:v>
                </c:pt>
                <c:pt idx="37">
                  <c:v>-362.10150745940484</c:v>
                </c:pt>
                <c:pt idx="38">
                  <c:v>-362.10150745940484</c:v>
                </c:pt>
                <c:pt idx="39">
                  <c:v>-362.10150745940484</c:v>
                </c:pt>
                <c:pt idx="40">
                  <c:v>-362.10150745940484</c:v>
                </c:pt>
                <c:pt idx="41">
                  <c:v>-362.10150745940484</c:v>
                </c:pt>
                <c:pt idx="42">
                  <c:v>-362.10150745940484</c:v>
                </c:pt>
                <c:pt idx="43">
                  <c:v>-362.10150745940484</c:v>
                </c:pt>
                <c:pt idx="44">
                  <c:v>-362.10150745940484</c:v>
                </c:pt>
                <c:pt idx="45">
                  <c:v>-362.10150745940484</c:v>
                </c:pt>
                <c:pt idx="46">
                  <c:v>-362.10150745940484</c:v>
                </c:pt>
                <c:pt idx="47">
                  <c:v>-362.10150745940484</c:v>
                </c:pt>
                <c:pt idx="48">
                  <c:v>-362.10150745940484</c:v>
                </c:pt>
                <c:pt idx="49">
                  <c:v>-362.10150745940484</c:v>
                </c:pt>
                <c:pt idx="50">
                  <c:v>-362.10150745940484</c:v>
                </c:pt>
                <c:pt idx="51">
                  <c:v>-362.10150745940484</c:v>
                </c:pt>
                <c:pt idx="52">
                  <c:v>-362.10150745940484</c:v>
                </c:pt>
                <c:pt idx="53">
                  <c:v>-362.10150745940484</c:v>
                </c:pt>
                <c:pt idx="54">
                  <c:v>-362.10150745940484</c:v>
                </c:pt>
                <c:pt idx="55">
                  <c:v>-362.10150745940484</c:v>
                </c:pt>
                <c:pt idx="56">
                  <c:v>-362.10150745940484</c:v>
                </c:pt>
                <c:pt idx="57">
                  <c:v>-362.10150745940484</c:v>
                </c:pt>
                <c:pt idx="58">
                  <c:v>-362.10150745940484</c:v>
                </c:pt>
                <c:pt idx="59">
                  <c:v>-362.10150745940484</c:v>
                </c:pt>
                <c:pt idx="60">
                  <c:v>-362.10150745940484</c:v>
                </c:pt>
                <c:pt idx="61">
                  <c:v>-362.10150745940484</c:v>
                </c:pt>
                <c:pt idx="62">
                  <c:v>-362.10150745940484</c:v>
                </c:pt>
                <c:pt idx="63">
                  <c:v>-362.10150745940484</c:v>
                </c:pt>
                <c:pt idx="64">
                  <c:v>-362.10150745940484</c:v>
                </c:pt>
                <c:pt idx="65">
                  <c:v>-362.10150745940484</c:v>
                </c:pt>
                <c:pt idx="66">
                  <c:v>-362.10150745940484</c:v>
                </c:pt>
                <c:pt idx="67">
                  <c:v>-362.10150745940484</c:v>
                </c:pt>
                <c:pt idx="68">
                  <c:v>-362.10150745940484</c:v>
                </c:pt>
                <c:pt idx="69">
                  <c:v>-362.10150745940484</c:v>
                </c:pt>
                <c:pt idx="70">
                  <c:v>-362.10150745940484</c:v>
                </c:pt>
                <c:pt idx="71">
                  <c:v>-362.10150745940484</c:v>
                </c:pt>
                <c:pt idx="72">
                  <c:v>-362.10150745940484</c:v>
                </c:pt>
                <c:pt idx="73">
                  <c:v>-362.10150745940484</c:v>
                </c:pt>
                <c:pt idx="74">
                  <c:v>-362.10150745940484</c:v>
                </c:pt>
                <c:pt idx="75">
                  <c:v>-362.10150745940484</c:v>
                </c:pt>
                <c:pt idx="76">
                  <c:v>-362.10150745940484</c:v>
                </c:pt>
                <c:pt idx="77">
                  <c:v>-362.10150745940484</c:v>
                </c:pt>
                <c:pt idx="78">
                  <c:v>-362.10150745940484</c:v>
                </c:pt>
                <c:pt idx="79">
                  <c:v>-362.10150745940484</c:v>
                </c:pt>
                <c:pt idx="80">
                  <c:v>-362.10150745940484</c:v>
                </c:pt>
                <c:pt idx="81">
                  <c:v>-362.10150745940484</c:v>
                </c:pt>
                <c:pt idx="82">
                  <c:v>-362.10150745940484</c:v>
                </c:pt>
                <c:pt idx="83">
                  <c:v>-362.10150745940484</c:v>
                </c:pt>
                <c:pt idx="84">
                  <c:v>-362.10150745940484</c:v>
                </c:pt>
                <c:pt idx="85">
                  <c:v>-362.10150745940484</c:v>
                </c:pt>
                <c:pt idx="86">
                  <c:v>-362.10150745940484</c:v>
                </c:pt>
                <c:pt idx="87">
                  <c:v>-362.10150745940484</c:v>
                </c:pt>
                <c:pt idx="88">
                  <c:v>-362.10150745940484</c:v>
                </c:pt>
                <c:pt idx="89">
                  <c:v>-362.10150745940484</c:v>
                </c:pt>
                <c:pt idx="90">
                  <c:v>-362.10150745940484</c:v>
                </c:pt>
                <c:pt idx="91">
                  <c:v>-362.10150745940484</c:v>
                </c:pt>
                <c:pt idx="92">
                  <c:v>-362.10150745940484</c:v>
                </c:pt>
                <c:pt idx="93">
                  <c:v>-362.10150745940484</c:v>
                </c:pt>
                <c:pt idx="94">
                  <c:v>-362.10150745940484</c:v>
                </c:pt>
                <c:pt idx="95">
                  <c:v>-362.10150745940484</c:v>
                </c:pt>
                <c:pt idx="96">
                  <c:v>-362.10150745940484</c:v>
                </c:pt>
                <c:pt idx="97">
                  <c:v>-362.10150745940484</c:v>
                </c:pt>
                <c:pt idx="98">
                  <c:v>-362.10150745940484</c:v>
                </c:pt>
                <c:pt idx="99">
                  <c:v>-362.10150745940484</c:v>
                </c:pt>
                <c:pt idx="100">
                  <c:v>-362.10150745940484</c:v>
                </c:pt>
                <c:pt idx="101">
                  <c:v>-362.10150745940484</c:v>
                </c:pt>
                <c:pt idx="102">
                  <c:v>-362.10150745940484</c:v>
                </c:pt>
                <c:pt idx="103">
                  <c:v>-362.10150745940484</c:v>
                </c:pt>
                <c:pt idx="104">
                  <c:v>-362.10150745940484</c:v>
                </c:pt>
                <c:pt idx="105">
                  <c:v>-362.10150745940484</c:v>
                </c:pt>
                <c:pt idx="106">
                  <c:v>-362.10150745940484</c:v>
                </c:pt>
                <c:pt idx="107">
                  <c:v>-362.10150745940484</c:v>
                </c:pt>
                <c:pt idx="108">
                  <c:v>-362.10150745940484</c:v>
                </c:pt>
                <c:pt idx="109">
                  <c:v>-362.10150745940484</c:v>
                </c:pt>
                <c:pt idx="110">
                  <c:v>-362.10150745940484</c:v>
                </c:pt>
                <c:pt idx="111">
                  <c:v>-362.10150745940484</c:v>
                </c:pt>
                <c:pt idx="112">
                  <c:v>-362.10150745940484</c:v>
                </c:pt>
                <c:pt idx="113">
                  <c:v>-362.10150745940484</c:v>
                </c:pt>
                <c:pt idx="114">
                  <c:v>-362.10150745940484</c:v>
                </c:pt>
                <c:pt idx="115">
                  <c:v>-362.10150745940484</c:v>
                </c:pt>
                <c:pt idx="116">
                  <c:v>-362.10150745940484</c:v>
                </c:pt>
                <c:pt idx="117">
                  <c:v>-362.10150745940484</c:v>
                </c:pt>
                <c:pt idx="118">
                  <c:v>-362.10150745940484</c:v>
                </c:pt>
                <c:pt idx="119">
                  <c:v>-362.10150745940484</c:v>
                </c:pt>
                <c:pt idx="120">
                  <c:v>-362.10150745940484</c:v>
                </c:pt>
                <c:pt idx="121">
                  <c:v>-362.10150745940484</c:v>
                </c:pt>
                <c:pt idx="122">
                  <c:v>-362.10150745940484</c:v>
                </c:pt>
                <c:pt idx="123">
                  <c:v>-362.10150745940484</c:v>
                </c:pt>
                <c:pt idx="124">
                  <c:v>-362.10150745940484</c:v>
                </c:pt>
                <c:pt idx="125">
                  <c:v>-362.10150745940484</c:v>
                </c:pt>
                <c:pt idx="126">
                  <c:v>-362.10150745940484</c:v>
                </c:pt>
                <c:pt idx="127">
                  <c:v>-362.10150745940484</c:v>
                </c:pt>
                <c:pt idx="128">
                  <c:v>-362.10150745940484</c:v>
                </c:pt>
                <c:pt idx="129">
                  <c:v>-362.10150745940484</c:v>
                </c:pt>
                <c:pt idx="130">
                  <c:v>-362.10150745940484</c:v>
                </c:pt>
                <c:pt idx="131">
                  <c:v>-362.10150745940484</c:v>
                </c:pt>
                <c:pt idx="132">
                  <c:v>-362.10150745940484</c:v>
                </c:pt>
                <c:pt idx="133">
                  <c:v>-362.10150745940484</c:v>
                </c:pt>
                <c:pt idx="134">
                  <c:v>-362.10150745940484</c:v>
                </c:pt>
                <c:pt idx="135">
                  <c:v>-362.10150745940484</c:v>
                </c:pt>
                <c:pt idx="136">
                  <c:v>-362.10150745940484</c:v>
                </c:pt>
                <c:pt idx="137">
                  <c:v>-362.10150745940484</c:v>
                </c:pt>
                <c:pt idx="138">
                  <c:v>-362.10150745940484</c:v>
                </c:pt>
                <c:pt idx="139">
                  <c:v>-362.10150745940484</c:v>
                </c:pt>
                <c:pt idx="140">
                  <c:v>-362.10150745940484</c:v>
                </c:pt>
                <c:pt idx="141">
                  <c:v>-362.10150745940484</c:v>
                </c:pt>
                <c:pt idx="142">
                  <c:v>-362.10150745940484</c:v>
                </c:pt>
                <c:pt idx="143">
                  <c:v>-362.10150745940484</c:v>
                </c:pt>
                <c:pt idx="144">
                  <c:v>-362.10150745940484</c:v>
                </c:pt>
                <c:pt idx="145">
                  <c:v>-362.10150745940484</c:v>
                </c:pt>
                <c:pt idx="146">
                  <c:v>-362.10150745940484</c:v>
                </c:pt>
                <c:pt idx="147">
                  <c:v>-362.10150745940484</c:v>
                </c:pt>
                <c:pt idx="148">
                  <c:v>-362.10150745940484</c:v>
                </c:pt>
                <c:pt idx="149">
                  <c:v>-362.10150745940484</c:v>
                </c:pt>
                <c:pt idx="150">
                  <c:v>-362.10150745940484</c:v>
                </c:pt>
                <c:pt idx="151">
                  <c:v>-362.10150745940484</c:v>
                </c:pt>
                <c:pt idx="152">
                  <c:v>-362.10150745940484</c:v>
                </c:pt>
                <c:pt idx="153">
                  <c:v>-362.10150745940484</c:v>
                </c:pt>
                <c:pt idx="154">
                  <c:v>-362.10150745940484</c:v>
                </c:pt>
                <c:pt idx="155">
                  <c:v>-362.10150745940484</c:v>
                </c:pt>
                <c:pt idx="156">
                  <c:v>-362.10150745940484</c:v>
                </c:pt>
                <c:pt idx="157">
                  <c:v>-362.10150745940484</c:v>
                </c:pt>
                <c:pt idx="158">
                  <c:v>-362.10150745940484</c:v>
                </c:pt>
                <c:pt idx="159">
                  <c:v>-362.10150745940484</c:v>
                </c:pt>
                <c:pt idx="160">
                  <c:v>-362.10150745940484</c:v>
                </c:pt>
                <c:pt idx="161">
                  <c:v>-362.10150745940484</c:v>
                </c:pt>
                <c:pt idx="162">
                  <c:v>-362.10150745940484</c:v>
                </c:pt>
                <c:pt idx="163">
                  <c:v>-362.10150745940484</c:v>
                </c:pt>
                <c:pt idx="164">
                  <c:v>-362.10150745940484</c:v>
                </c:pt>
                <c:pt idx="165">
                  <c:v>-362.10150745940484</c:v>
                </c:pt>
                <c:pt idx="166">
                  <c:v>-362.10150745940484</c:v>
                </c:pt>
                <c:pt idx="167">
                  <c:v>-362.10150745940484</c:v>
                </c:pt>
                <c:pt idx="168">
                  <c:v>-362.10150745940484</c:v>
                </c:pt>
                <c:pt idx="169">
                  <c:v>-362.10150745940484</c:v>
                </c:pt>
                <c:pt idx="170">
                  <c:v>-362.10150745940484</c:v>
                </c:pt>
                <c:pt idx="171">
                  <c:v>-362.10150745940484</c:v>
                </c:pt>
              </c:numCache>
            </c:numRef>
          </c:yVal>
          <c:smooth val="1"/>
        </c:ser>
        <c:ser>
          <c:idx val="8"/>
          <c:order val="8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Foglio2!$V$4:$V$175</c:f>
              <c:numCache>
                <c:formatCode>0.0</c:formatCode>
                <c:ptCount val="1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</c:numCache>
            </c:numRef>
          </c:xVal>
          <c:yVal>
            <c:numRef>
              <c:f>Foglio2!$W$4:$W$175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-362.10150745940484</c:v>
                </c:pt>
                <c:pt idx="2">
                  <c:v>-362.10150745940484</c:v>
                </c:pt>
                <c:pt idx="3">
                  <c:v>-362.10150745940484</c:v>
                </c:pt>
                <c:pt idx="4">
                  <c:v>-362.10150745940484</c:v>
                </c:pt>
                <c:pt idx="5">
                  <c:v>-362.10150745940484</c:v>
                </c:pt>
                <c:pt idx="6">
                  <c:v>-362.10150745940484</c:v>
                </c:pt>
                <c:pt idx="7">
                  <c:v>-362.10150745940484</c:v>
                </c:pt>
                <c:pt idx="8">
                  <c:v>-362.10150745940484</c:v>
                </c:pt>
                <c:pt idx="9">
                  <c:v>-362.10150745940484</c:v>
                </c:pt>
                <c:pt idx="10">
                  <c:v>-362.10150745940484</c:v>
                </c:pt>
                <c:pt idx="11">
                  <c:v>-362.10150745940484</c:v>
                </c:pt>
                <c:pt idx="12">
                  <c:v>-362.10150745940484</c:v>
                </c:pt>
                <c:pt idx="13">
                  <c:v>-362.10150745940484</c:v>
                </c:pt>
                <c:pt idx="14">
                  <c:v>-362.10150745940484</c:v>
                </c:pt>
                <c:pt idx="15">
                  <c:v>-362.10150745940484</c:v>
                </c:pt>
                <c:pt idx="16">
                  <c:v>-362.10150745940484</c:v>
                </c:pt>
                <c:pt idx="17">
                  <c:v>-362.10150745940484</c:v>
                </c:pt>
                <c:pt idx="18">
                  <c:v>-362.10150745940484</c:v>
                </c:pt>
                <c:pt idx="19">
                  <c:v>-362.10150745940484</c:v>
                </c:pt>
                <c:pt idx="20">
                  <c:v>-362.10150745940484</c:v>
                </c:pt>
                <c:pt idx="21">
                  <c:v>-362.10150745940484</c:v>
                </c:pt>
                <c:pt idx="22">
                  <c:v>-362.10150745940484</c:v>
                </c:pt>
                <c:pt idx="23">
                  <c:v>-362.10150745940484</c:v>
                </c:pt>
                <c:pt idx="24">
                  <c:v>-362.10150745940484</c:v>
                </c:pt>
                <c:pt idx="25">
                  <c:v>-362.10150745940484</c:v>
                </c:pt>
                <c:pt idx="26">
                  <c:v>-362.10150745940484</c:v>
                </c:pt>
                <c:pt idx="27">
                  <c:v>-362.10150745940484</c:v>
                </c:pt>
                <c:pt idx="28">
                  <c:v>-362.10150745940484</c:v>
                </c:pt>
                <c:pt idx="29">
                  <c:v>-362.10150745940484</c:v>
                </c:pt>
                <c:pt idx="30">
                  <c:v>-362.10150745940484</c:v>
                </c:pt>
                <c:pt idx="31">
                  <c:v>-362.10150745940484</c:v>
                </c:pt>
                <c:pt idx="32">
                  <c:v>-362.10150745940484</c:v>
                </c:pt>
                <c:pt idx="33">
                  <c:v>-362.10150745940484</c:v>
                </c:pt>
                <c:pt idx="34">
                  <c:v>-362.10150745940484</c:v>
                </c:pt>
                <c:pt idx="35">
                  <c:v>-362.10150745940484</c:v>
                </c:pt>
                <c:pt idx="36">
                  <c:v>-362.10150745940484</c:v>
                </c:pt>
                <c:pt idx="37">
                  <c:v>-362.10150745940484</c:v>
                </c:pt>
                <c:pt idx="38">
                  <c:v>-362.10150745940484</c:v>
                </c:pt>
                <c:pt idx="39">
                  <c:v>-362.10150745940484</c:v>
                </c:pt>
                <c:pt idx="40">
                  <c:v>-362.10150745940484</c:v>
                </c:pt>
                <c:pt idx="41">
                  <c:v>-362.10150745940484</c:v>
                </c:pt>
                <c:pt idx="42">
                  <c:v>-362.10150745940484</c:v>
                </c:pt>
                <c:pt idx="43">
                  <c:v>-362.10150745940484</c:v>
                </c:pt>
                <c:pt idx="44">
                  <c:v>-362.10150745940484</c:v>
                </c:pt>
                <c:pt idx="45">
                  <c:v>-362.10150745940484</c:v>
                </c:pt>
                <c:pt idx="46">
                  <c:v>-362.10150745940484</c:v>
                </c:pt>
                <c:pt idx="47">
                  <c:v>-362.10150745940484</c:v>
                </c:pt>
                <c:pt idx="48">
                  <c:v>-362.10150745940484</c:v>
                </c:pt>
                <c:pt idx="49">
                  <c:v>-362.10150745940484</c:v>
                </c:pt>
                <c:pt idx="50">
                  <c:v>-362.10150745940484</c:v>
                </c:pt>
                <c:pt idx="51">
                  <c:v>-362.10150745940484</c:v>
                </c:pt>
                <c:pt idx="52">
                  <c:v>-362.10150745940484</c:v>
                </c:pt>
                <c:pt idx="53">
                  <c:v>-362.10150745940484</c:v>
                </c:pt>
                <c:pt idx="54">
                  <c:v>-362.10150745940484</c:v>
                </c:pt>
                <c:pt idx="55">
                  <c:v>-362.10150745940484</c:v>
                </c:pt>
                <c:pt idx="56">
                  <c:v>-362.10150745940484</c:v>
                </c:pt>
                <c:pt idx="57">
                  <c:v>-362.10150745940484</c:v>
                </c:pt>
                <c:pt idx="58">
                  <c:v>-362.10150745940484</c:v>
                </c:pt>
                <c:pt idx="59">
                  <c:v>-362.10150745940484</c:v>
                </c:pt>
                <c:pt idx="60">
                  <c:v>-362.10150745940484</c:v>
                </c:pt>
                <c:pt idx="61">
                  <c:v>-362.10150745940484</c:v>
                </c:pt>
                <c:pt idx="62">
                  <c:v>-362.10150745940484</c:v>
                </c:pt>
                <c:pt idx="63">
                  <c:v>-362.10150745940484</c:v>
                </c:pt>
                <c:pt idx="64">
                  <c:v>-362.10150745940484</c:v>
                </c:pt>
                <c:pt idx="65">
                  <c:v>-362.10150745940484</c:v>
                </c:pt>
                <c:pt idx="66">
                  <c:v>-362.10150745940484</c:v>
                </c:pt>
                <c:pt idx="67">
                  <c:v>-362.10150745940484</c:v>
                </c:pt>
                <c:pt idx="68">
                  <c:v>-362.10150745940484</c:v>
                </c:pt>
                <c:pt idx="69">
                  <c:v>-362.10150745940484</c:v>
                </c:pt>
                <c:pt idx="70">
                  <c:v>-362.10150745940484</c:v>
                </c:pt>
                <c:pt idx="71">
                  <c:v>-362.10150745940484</c:v>
                </c:pt>
                <c:pt idx="72">
                  <c:v>-362.10150745940484</c:v>
                </c:pt>
                <c:pt idx="73">
                  <c:v>-362.10150745940484</c:v>
                </c:pt>
                <c:pt idx="74">
                  <c:v>-362.10150745940484</c:v>
                </c:pt>
                <c:pt idx="75">
                  <c:v>-362.10150745940484</c:v>
                </c:pt>
                <c:pt idx="76">
                  <c:v>-362.10150745940484</c:v>
                </c:pt>
                <c:pt idx="77">
                  <c:v>-362.10150745940484</c:v>
                </c:pt>
                <c:pt idx="78">
                  <c:v>-362.10150745940484</c:v>
                </c:pt>
                <c:pt idx="79">
                  <c:v>-362.10150745940484</c:v>
                </c:pt>
                <c:pt idx="80">
                  <c:v>-362.10150745940484</c:v>
                </c:pt>
                <c:pt idx="81">
                  <c:v>-362.10150745940484</c:v>
                </c:pt>
                <c:pt idx="82">
                  <c:v>-362.10150745940484</c:v>
                </c:pt>
                <c:pt idx="83">
                  <c:v>-362.10150745940484</c:v>
                </c:pt>
                <c:pt idx="84">
                  <c:v>-362.10150745940484</c:v>
                </c:pt>
                <c:pt idx="85">
                  <c:v>-362.10150745940484</c:v>
                </c:pt>
                <c:pt idx="86">
                  <c:v>-362.10150745940484</c:v>
                </c:pt>
                <c:pt idx="87">
                  <c:v>-362.10150745940484</c:v>
                </c:pt>
                <c:pt idx="88">
                  <c:v>-362.10150745940484</c:v>
                </c:pt>
                <c:pt idx="89">
                  <c:v>-362.10150745940484</c:v>
                </c:pt>
                <c:pt idx="90">
                  <c:v>-362.10150745940484</c:v>
                </c:pt>
                <c:pt idx="91">
                  <c:v>-362.10150745940484</c:v>
                </c:pt>
                <c:pt idx="92">
                  <c:v>-362.10150745940484</c:v>
                </c:pt>
                <c:pt idx="93">
                  <c:v>-362.10150745940484</c:v>
                </c:pt>
                <c:pt idx="94">
                  <c:v>-362.10150745940484</c:v>
                </c:pt>
                <c:pt idx="95">
                  <c:v>-362.10150745940484</c:v>
                </c:pt>
                <c:pt idx="96">
                  <c:v>-362.10150745940484</c:v>
                </c:pt>
                <c:pt idx="97">
                  <c:v>-362.10150745940484</c:v>
                </c:pt>
                <c:pt idx="98">
                  <c:v>-362.10150745940484</c:v>
                </c:pt>
                <c:pt idx="99">
                  <c:v>-362.10150745940484</c:v>
                </c:pt>
                <c:pt idx="100">
                  <c:v>-362.10150745940484</c:v>
                </c:pt>
                <c:pt idx="101">
                  <c:v>-362.10150745940484</c:v>
                </c:pt>
                <c:pt idx="102">
                  <c:v>-362.10150745940484</c:v>
                </c:pt>
                <c:pt idx="103">
                  <c:v>-362.10150745940484</c:v>
                </c:pt>
                <c:pt idx="104">
                  <c:v>-362.10150745940484</c:v>
                </c:pt>
                <c:pt idx="105">
                  <c:v>-362.10150745940484</c:v>
                </c:pt>
                <c:pt idx="106">
                  <c:v>-362.10150745940484</c:v>
                </c:pt>
                <c:pt idx="107">
                  <c:v>-362.10150745940484</c:v>
                </c:pt>
                <c:pt idx="108">
                  <c:v>-362.10150745940484</c:v>
                </c:pt>
                <c:pt idx="109">
                  <c:v>-362.10150745940484</c:v>
                </c:pt>
                <c:pt idx="110">
                  <c:v>-362.10150745940484</c:v>
                </c:pt>
                <c:pt idx="111">
                  <c:v>-362.10150745940484</c:v>
                </c:pt>
                <c:pt idx="112">
                  <c:v>-362.10150745940484</c:v>
                </c:pt>
                <c:pt idx="113">
                  <c:v>-362.10150745940484</c:v>
                </c:pt>
                <c:pt idx="114">
                  <c:v>-362.10150745940484</c:v>
                </c:pt>
                <c:pt idx="115">
                  <c:v>-362.10150745940484</c:v>
                </c:pt>
                <c:pt idx="116">
                  <c:v>-362.10150745940484</c:v>
                </c:pt>
                <c:pt idx="117">
                  <c:v>-362.10150745940484</c:v>
                </c:pt>
                <c:pt idx="118">
                  <c:v>-362.10150745940484</c:v>
                </c:pt>
                <c:pt idx="119">
                  <c:v>-362.10150745940484</c:v>
                </c:pt>
                <c:pt idx="120">
                  <c:v>-362.10150745940484</c:v>
                </c:pt>
                <c:pt idx="121">
                  <c:v>-362.10150745940484</c:v>
                </c:pt>
                <c:pt idx="122">
                  <c:v>-362.10150745940484</c:v>
                </c:pt>
                <c:pt idx="123">
                  <c:v>-362.10150745940484</c:v>
                </c:pt>
                <c:pt idx="124">
                  <c:v>-362.10150745940484</c:v>
                </c:pt>
                <c:pt idx="125">
                  <c:v>-362.10150745940484</c:v>
                </c:pt>
                <c:pt idx="126">
                  <c:v>-362.10150745940484</c:v>
                </c:pt>
                <c:pt idx="127">
                  <c:v>-362.10150745940484</c:v>
                </c:pt>
                <c:pt idx="128">
                  <c:v>-362.10150745940484</c:v>
                </c:pt>
                <c:pt idx="129">
                  <c:v>-362.10150745940484</c:v>
                </c:pt>
                <c:pt idx="130">
                  <c:v>-362.10150745940484</c:v>
                </c:pt>
                <c:pt idx="131">
                  <c:v>-362.10150745940484</c:v>
                </c:pt>
                <c:pt idx="132">
                  <c:v>-362.10150745940484</c:v>
                </c:pt>
                <c:pt idx="133">
                  <c:v>-362.10150745940484</c:v>
                </c:pt>
                <c:pt idx="134">
                  <c:v>-362.10150745940484</c:v>
                </c:pt>
                <c:pt idx="135">
                  <c:v>-362.10150745940484</c:v>
                </c:pt>
                <c:pt idx="136">
                  <c:v>-362.10150745940484</c:v>
                </c:pt>
                <c:pt idx="137">
                  <c:v>-362.10150745940484</c:v>
                </c:pt>
                <c:pt idx="138">
                  <c:v>-362.10150745940484</c:v>
                </c:pt>
                <c:pt idx="139">
                  <c:v>-362.10150745940484</c:v>
                </c:pt>
                <c:pt idx="140">
                  <c:v>-362.10150745940484</c:v>
                </c:pt>
                <c:pt idx="141">
                  <c:v>-362.10150745940484</c:v>
                </c:pt>
                <c:pt idx="142">
                  <c:v>-362.10150745940484</c:v>
                </c:pt>
                <c:pt idx="143">
                  <c:v>-362.10150745940484</c:v>
                </c:pt>
                <c:pt idx="144">
                  <c:v>-362.10150745940484</c:v>
                </c:pt>
                <c:pt idx="145">
                  <c:v>-362.10150745940484</c:v>
                </c:pt>
                <c:pt idx="146">
                  <c:v>-362.10150745940484</c:v>
                </c:pt>
                <c:pt idx="147">
                  <c:v>-362.10150745940484</c:v>
                </c:pt>
                <c:pt idx="148">
                  <c:v>-362.10150745940484</c:v>
                </c:pt>
                <c:pt idx="149">
                  <c:v>-362.10150745940484</c:v>
                </c:pt>
                <c:pt idx="150">
                  <c:v>-362.10150745940484</c:v>
                </c:pt>
                <c:pt idx="151">
                  <c:v>-362.10150745940484</c:v>
                </c:pt>
                <c:pt idx="152">
                  <c:v>-362.10150745940484</c:v>
                </c:pt>
                <c:pt idx="153">
                  <c:v>-362.10150745940484</c:v>
                </c:pt>
                <c:pt idx="154">
                  <c:v>-362.10150745940484</c:v>
                </c:pt>
                <c:pt idx="155">
                  <c:v>-362.10150745940484</c:v>
                </c:pt>
                <c:pt idx="156">
                  <c:v>-362.10150745940484</c:v>
                </c:pt>
                <c:pt idx="157">
                  <c:v>-362.10150745940484</c:v>
                </c:pt>
                <c:pt idx="158">
                  <c:v>-362.10150745940484</c:v>
                </c:pt>
                <c:pt idx="159">
                  <c:v>-362.10150745940484</c:v>
                </c:pt>
                <c:pt idx="160">
                  <c:v>-362.10150745940484</c:v>
                </c:pt>
                <c:pt idx="161">
                  <c:v>-362.10150745940484</c:v>
                </c:pt>
                <c:pt idx="162">
                  <c:v>-362.10150745940484</c:v>
                </c:pt>
                <c:pt idx="163">
                  <c:v>-362.10150745940484</c:v>
                </c:pt>
                <c:pt idx="164">
                  <c:v>-362.10150745940484</c:v>
                </c:pt>
                <c:pt idx="165">
                  <c:v>-362.10150745940484</c:v>
                </c:pt>
                <c:pt idx="166">
                  <c:v>-362.10150745940484</c:v>
                </c:pt>
                <c:pt idx="167">
                  <c:v>-362.10150745940484</c:v>
                </c:pt>
                <c:pt idx="168">
                  <c:v>-362.10150745940484</c:v>
                </c:pt>
                <c:pt idx="169">
                  <c:v>-362.10150745940484</c:v>
                </c:pt>
                <c:pt idx="170">
                  <c:v>-362.10150745940484</c:v>
                </c:pt>
                <c:pt idx="171">
                  <c:v>-362.10150745940484</c:v>
                </c:pt>
              </c:numCache>
            </c:numRef>
          </c:yVal>
          <c:smooth val="1"/>
        </c:ser>
        <c:ser>
          <c:idx val="9"/>
          <c:order val="9"/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Foglio2!$Y$4:$Y$175</c:f>
              <c:numCache>
                <c:formatCode>0.0</c:formatCode>
                <c:ptCount val="172"/>
                <c:pt idx="0">
                  <c:v>0</c:v>
                </c:pt>
                <c:pt idx="1">
                  <c:v>4.7685296737477687</c:v>
                </c:pt>
                <c:pt idx="2">
                  <c:v>9.5370593474955374</c:v>
                </c:pt>
                <c:pt idx="3">
                  <c:v>14.305589021243307</c:v>
                </c:pt>
                <c:pt idx="4">
                  <c:v>19.074118694991075</c:v>
                </c:pt>
                <c:pt idx="5">
                  <c:v>23.842648368738846</c:v>
                </c:pt>
                <c:pt idx="6">
                  <c:v>28.611178042486614</c:v>
                </c:pt>
                <c:pt idx="7">
                  <c:v>33.379707716234385</c:v>
                </c:pt>
                <c:pt idx="8">
                  <c:v>38.14823738998215</c:v>
                </c:pt>
                <c:pt idx="9">
                  <c:v>42.916767063729921</c:v>
                </c:pt>
                <c:pt idx="10">
                  <c:v>47.685296737477692</c:v>
                </c:pt>
                <c:pt idx="11">
                  <c:v>52.453826411225457</c:v>
                </c:pt>
                <c:pt idx="12">
                  <c:v>57.222356084973228</c:v>
                </c:pt>
                <c:pt idx="13">
                  <c:v>61.990885758720999</c:v>
                </c:pt>
                <c:pt idx="14">
                  <c:v>66.759415432468771</c:v>
                </c:pt>
                <c:pt idx="15">
                  <c:v>71.527945106216535</c:v>
                </c:pt>
                <c:pt idx="16">
                  <c:v>76.296474779964299</c:v>
                </c:pt>
                <c:pt idx="17">
                  <c:v>81.065004453712078</c:v>
                </c:pt>
                <c:pt idx="18">
                  <c:v>85.833534127459842</c:v>
                </c:pt>
                <c:pt idx="19">
                  <c:v>90.602063801207606</c:v>
                </c:pt>
                <c:pt idx="20">
                  <c:v>95.370593474955385</c:v>
                </c:pt>
                <c:pt idx="21">
                  <c:v>100.13912314870315</c:v>
                </c:pt>
                <c:pt idx="22">
                  <c:v>104.90765282245091</c:v>
                </c:pt>
                <c:pt idx="23">
                  <c:v>109.67618249619869</c:v>
                </c:pt>
                <c:pt idx="24">
                  <c:v>114.44471216994646</c:v>
                </c:pt>
                <c:pt idx="25">
                  <c:v>119.21324184369422</c:v>
                </c:pt>
                <c:pt idx="26">
                  <c:v>123.981771517442</c:v>
                </c:pt>
                <c:pt idx="27">
                  <c:v>128.75030119118975</c:v>
                </c:pt>
                <c:pt idx="28">
                  <c:v>133.51883086493754</c:v>
                </c:pt>
                <c:pt idx="29">
                  <c:v>138.28736053868531</c:v>
                </c:pt>
                <c:pt idx="30">
                  <c:v>143.05589021243307</c:v>
                </c:pt>
                <c:pt idx="31">
                  <c:v>147.82441988618083</c:v>
                </c:pt>
                <c:pt idx="32">
                  <c:v>152.5929495599286</c:v>
                </c:pt>
                <c:pt idx="33">
                  <c:v>157.36147923367636</c:v>
                </c:pt>
                <c:pt idx="34">
                  <c:v>162.13000890742416</c:v>
                </c:pt>
                <c:pt idx="35">
                  <c:v>166.89853858117192</c:v>
                </c:pt>
                <c:pt idx="36">
                  <c:v>171.66706825491968</c:v>
                </c:pt>
                <c:pt idx="37">
                  <c:v>176.43559792866745</c:v>
                </c:pt>
                <c:pt idx="38">
                  <c:v>181.20412760241521</c:v>
                </c:pt>
                <c:pt idx="39">
                  <c:v>185.97265727616298</c:v>
                </c:pt>
                <c:pt idx="40">
                  <c:v>190.74118694991077</c:v>
                </c:pt>
                <c:pt idx="41">
                  <c:v>195.50971662365853</c:v>
                </c:pt>
                <c:pt idx="42">
                  <c:v>200.2782462974063</c:v>
                </c:pt>
                <c:pt idx="43">
                  <c:v>205.04677597115406</c:v>
                </c:pt>
                <c:pt idx="44">
                  <c:v>209.81530564490183</c:v>
                </c:pt>
                <c:pt idx="45">
                  <c:v>214.58383531864959</c:v>
                </c:pt>
                <c:pt idx="46">
                  <c:v>219.35236499239738</c:v>
                </c:pt>
                <c:pt idx="47">
                  <c:v>224.12089466614515</c:v>
                </c:pt>
                <c:pt idx="48">
                  <c:v>228.88942433989291</c:v>
                </c:pt>
                <c:pt idx="49">
                  <c:v>233.65795401364068</c:v>
                </c:pt>
                <c:pt idx="50">
                  <c:v>238.42648368738844</c:v>
                </c:pt>
                <c:pt idx="51">
                  <c:v>243.1950133611362</c:v>
                </c:pt>
                <c:pt idx="52">
                  <c:v>247.963543034884</c:v>
                </c:pt>
                <c:pt idx="53">
                  <c:v>252.73207270863176</c:v>
                </c:pt>
                <c:pt idx="54">
                  <c:v>257.5006023823795</c:v>
                </c:pt>
                <c:pt idx="55">
                  <c:v>262.26913205612732</c:v>
                </c:pt>
                <c:pt idx="56">
                  <c:v>267.03766172987508</c:v>
                </c:pt>
                <c:pt idx="57">
                  <c:v>271.80619140362285</c:v>
                </c:pt>
                <c:pt idx="58">
                  <c:v>276.57472107737061</c:v>
                </c:pt>
                <c:pt idx="59">
                  <c:v>281.34325075111838</c:v>
                </c:pt>
                <c:pt idx="60">
                  <c:v>286.11178042486614</c:v>
                </c:pt>
                <c:pt idx="61">
                  <c:v>290.8803100986139</c:v>
                </c:pt>
                <c:pt idx="62">
                  <c:v>295.64883977236167</c:v>
                </c:pt>
                <c:pt idx="63">
                  <c:v>300.41736944610943</c:v>
                </c:pt>
                <c:pt idx="64">
                  <c:v>305.1858991198572</c:v>
                </c:pt>
                <c:pt idx="65">
                  <c:v>309.95442879360496</c:v>
                </c:pt>
                <c:pt idx="66">
                  <c:v>314.72295846735273</c:v>
                </c:pt>
                <c:pt idx="67">
                  <c:v>319.49148814110055</c:v>
                </c:pt>
                <c:pt idx="68">
                  <c:v>324.26001781484831</c:v>
                </c:pt>
                <c:pt idx="69">
                  <c:v>329.02854748859608</c:v>
                </c:pt>
                <c:pt idx="70">
                  <c:v>333.79707716234384</c:v>
                </c:pt>
                <c:pt idx="71">
                  <c:v>338.5656068360916</c:v>
                </c:pt>
                <c:pt idx="72">
                  <c:v>343.33413650983937</c:v>
                </c:pt>
                <c:pt idx="73">
                  <c:v>348.10266618358713</c:v>
                </c:pt>
                <c:pt idx="74">
                  <c:v>352.8711958573349</c:v>
                </c:pt>
                <c:pt idx="75">
                  <c:v>357.63972553108266</c:v>
                </c:pt>
                <c:pt idx="76">
                  <c:v>362.40825520483043</c:v>
                </c:pt>
                <c:pt idx="77">
                  <c:v>367.17678487857819</c:v>
                </c:pt>
                <c:pt idx="78">
                  <c:v>371.94531455232595</c:v>
                </c:pt>
                <c:pt idx="79">
                  <c:v>376.71384422607377</c:v>
                </c:pt>
                <c:pt idx="80">
                  <c:v>381.48237389982154</c:v>
                </c:pt>
                <c:pt idx="81">
                  <c:v>386.2509035735693</c:v>
                </c:pt>
                <c:pt idx="82">
                  <c:v>391.01943324731707</c:v>
                </c:pt>
                <c:pt idx="83">
                  <c:v>395.78796292106483</c:v>
                </c:pt>
                <c:pt idx="84">
                  <c:v>400.5564925948126</c:v>
                </c:pt>
                <c:pt idx="85">
                  <c:v>405.32502226856036</c:v>
                </c:pt>
                <c:pt idx="86">
                  <c:v>410.09355194230812</c:v>
                </c:pt>
                <c:pt idx="87">
                  <c:v>414.86208161605595</c:v>
                </c:pt>
                <c:pt idx="88">
                  <c:v>419.63061128980365</c:v>
                </c:pt>
                <c:pt idx="89">
                  <c:v>424.39914096355147</c:v>
                </c:pt>
                <c:pt idx="90">
                  <c:v>429.16767063729918</c:v>
                </c:pt>
                <c:pt idx="91">
                  <c:v>433.936200311047</c:v>
                </c:pt>
                <c:pt idx="92">
                  <c:v>438.70472998479477</c:v>
                </c:pt>
                <c:pt idx="93">
                  <c:v>443.47325965854259</c:v>
                </c:pt>
                <c:pt idx="94">
                  <c:v>448.2417893322903</c:v>
                </c:pt>
                <c:pt idx="95">
                  <c:v>453.01031900603812</c:v>
                </c:pt>
                <c:pt idx="96">
                  <c:v>457.77884867978582</c:v>
                </c:pt>
                <c:pt idx="97">
                  <c:v>462.54737835353365</c:v>
                </c:pt>
                <c:pt idx="98">
                  <c:v>467.31590802728135</c:v>
                </c:pt>
                <c:pt idx="99">
                  <c:v>472.08443770102917</c:v>
                </c:pt>
                <c:pt idx="100">
                  <c:v>476.85296737477688</c:v>
                </c:pt>
                <c:pt idx="101">
                  <c:v>481.6214970485247</c:v>
                </c:pt>
                <c:pt idx="102">
                  <c:v>486.39002672227241</c:v>
                </c:pt>
                <c:pt idx="103">
                  <c:v>491.15855639602023</c:v>
                </c:pt>
                <c:pt idx="104">
                  <c:v>495.927086069768</c:v>
                </c:pt>
                <c:pt idx="105">
                  <c:v>500.69561574351582</c:v>
                </c:pt>
                <c:pt idx="106">
                  <c:v>505.46414541726352</c:v>
                </c:pt>
                <c:pt idx="107">
                  <c:v>510.23267509101134</c:v>
                </c:pt>
                <c:pt idx="108">
                  <c:v>515.001204764759</c:v>
                </c:pt>
                <c:pt idx="109">
                  <c:v>519.76973443850682</c:v>
                </c:pt>
                <c:pt idx="110">
                  <c:v>524.53826411225464</c:v>
                </c:pt>
                <c:pt idx="111">
                  <c:v>529.30679378600246</c:v>
                </c:pt>
                <c:pt idx="112">
                  <c:v>534.07532345975017</c:v>
                </c:pt>
                <c:pt idx="113">
                  <c:v>538.84385313349799</c:v>
                </c:pt>
                <c:pt idx="114">
                  <c:v>543.61238280724569</c:v>
                </c:pt>
                <c:pt idx="115">
                  <c:v>548.38091248099352</c:v>
                </c:pt>
                <c:pt idx="116">
                  <c:v>553.14944215474122</c:v>
                </c:pt>
                <c:pt idx="117">
                  <c:v>557.91797182848904</c:v>
                </c:pt>
                <c:pt idx="118">
                  <c:v>562.68650150223675</c:v>
                </c:pt>
                <c:pt idx="119">
                  <c:v>567.45503117598457</c:v>
                </c:pt>
                <c:pt idx="120">
                  <c:v>572.22356084973228</c:v>
                </c:pt>
                <c:pt idx="121">
                  <c:v>576.9920905234801</c:v>
                </c:pt>
                <c:pt idx="122">
                  <c:v>581.76062019722781</c:v>
                </c:pt>
                <c:pt idx="123">
                  <c:v>586.52914987097563</c:v>
                </c:pt>
                <c:pt idx="124">
                  <c:v>591.29767954472334</c:v>
                </c:pt>
                <c:pt idx="125">
                  <c:v>596.06620921847116</c:v>
                </c:pt>
                <c:pt idx="126">
                  <c:v>600.83473889221887</c:v>
                </c:pt>
                <c:pt idx="127">
                  <c:v>605.60326856596669</c:v>
                </c:pt>
                <c:pt idx="128">
                  <c:v>610.37179823971439</c:v>
                </c:pt>
                <c:pt idx="129">
                  <c:v>615.14032791346222</c:v>
                </c:pt>
                <c:pt idx="130">
                  <c:v>619.90885758720992</c:v>
                </c:pt>
                <c:pt idx="131">
                  <c:v>624.67738726095774</c:v>
                </c:pt>
                <c:pt idx="132">
                  <c:v>629.44591693470545</c:v>
                </c:pt>
                <c:pt idx="133">
                  <c:v>634.21444660845327</c:v>
                </c:pt>
                <c:pt idx="134">
                  <c:v>638.98297628220109</c:v>
                </c:pt>
                <c:pt idx="135">
                  <c:v>643.75150595594891</c:v>
                </c:pt>
                <c:pt idx="136">
                  <c:v>648.52003562969662</c:v>
                </c:pt>
                <c:pt idx="137">
                  <c:v>653.28856530344444</c:v>
                </c:pt>
                <c:pt idx="138">
                  <c:v>658.05709497719215</c:v>
                </c:pt>
                <c:pt idx="139">
                  <c:v>662.82562465093997</c:v>
                </c:pt>
                <c:pt idx="140">
                  <c:v>667.59415432468768</c:v>
                </c:pt>
                <c:pt idx="141">
                  <c:v>672.3626839984355</c:v>
                </c:pt>
                <c:pt idx="142">
                  <c:v>677.13121367218321</c:v>
                </c:pt>
                <c:pt idx="143">
                  <c:v>681.89974334593103</c:v>
                </c:pt>
                <c:pt idx="144">
                  <c:v>686.66827301967874</c:v>
                </c:pt>
                <c:pt idx="145">
                  <c:v>691.43680269342656</c:v>
                </c:pt>
                <c:pt idx="146">
                  <c:v>696.20533236717426</c:v>
                </c:pt>
                <c:pt idx="147">
                  <c:v>700.97386204092209</c:v>
                </c:pt>
                <c:pt idx="148">
                  <c:v>705.74239171466979</c:v>
                </c:pt>
                <c:pt idx="149">
                  <c:v>710.51092138841761</c:v>
                </c:pt>
                <c:pt idx="150">
                  <c:v>715.27945106216532</c:v>
                </c:pt>
                <c:pt idx="151">
                  <c:v>720.04798073591314</c:v>
                </c:pt>
                <c:pt idx="152">
                  <c:v>724.81651040966085</c:v>
                </c:pt>
                <c:pt idx="153">
                  <c:v>729.58504008340867</c:v>
                </c:pt>
                <c:pt idx="154">
                  <c:v>734.35356975715638</c:v>
                </c:pt>
                <c:pt idx="155">
                  <c:v>739.1220994309042</c:v>
                </c:pt>
                <c:pt idx="156">
                  <c:v>743.89062910465191</c:v>
                </c:pt>
                <c:pt idx="157">
                  <c:v>748.65915877839973</c:v>
                </c:pt>
                <c:pt idx="158">
                  <c:v>753.42768845214755</c:v>
                </c:pt>
                <c:pt idx="159">
                  <c:v>758.19621812589537</c:v>
                </c:pt>
                <c:pt idx="160">
                  <c:v>762.96474779964308</c:v>
                </c:pt>
                <c:pt idx="161">
                  <c:v>767.7332774733909</c:v>
                </c:pt>
                <c:pt idx="162">
                  <c:v>772.50180714713861</c:v>
                </c:pt>
                <c:pt idx="163">
                  <c:v>777.27033682088643</c:v>
                </c:pt>
                <c:pt idx="164">
                  <c:v>782.03886649463414</c:v>
                </c:pt>
                <c:pt idx="165">
                  <c:v>786.80739616838196</c:v>
                </c:pt>
                <c:pt idx="166">
                  <c:v>791.57592584212966</c:v>
                </c:pt>
                <c:pt idx="167">
                  <c:v>796.34445551587748</c:v>
                </c:pt>
                <c:pt idx="168">
                  <c:v>801.11298518962519</c:v>
                </c:pt>
                <c:pt idx="169">
                  <c:v>805.88151486337301</c:v>
                </c:pt>
                <c:pt idx="170">
                  <c:v>810.65004453712072</c:v>
                </c:pt>
                <c:pt idx="171">
                  <c:v>815.41857421086854</c:v>
                </c:pt>
              </c:numCache>
            </c:numRef>
          </c:xVal>
          <c:yVal>
            <c:numRef>
              <c:f>Foglio2!$Z$4:$Z$175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362.09531573197847</c:v>
                </c:pt>
                <c:pt idx="2">
                  <c:v>362.07673991440601</c:v>
                </c:pt>
                <c:pt idx="3">
                  <c:v>362.04577810048158</c:v>
                </c:pt>
                <c:pt idx="4">
                  <c:v>362.00242711210842</c:v>
                </c:pt>
                <c:pt idx="5">
                  <c:v>361.94668249766721</c:v>
                </c:pt>
                <c:pt idx="6">
                  <c:v>361.8785385297287</c:v>
                </c:pt>
                <c:pt idx="7">
                  <c:v>361.79798820210857</c:v>
                </c:pt>
                <c:pt idx="8">
                  <c:v>361.70502322626004</c:v>
                </c:pt>
                <c:pt idx="9">
                  <c:v>361.59963402700095</c:v>
                </c:pt>
                <c:pt idx="10">
                  <c:v>361.48180973756928</c:v>
                </c:pt>
                <c:pt idx="11">
                  <c:v>361.35153819400153</c:v>
                </c:pt>
                <c:pt idx="12">
                  <c:v>361.20880592882725</c:v>
                </c:pt>
                <c:pt idx="13">
                  <c:v>361.05359816407156</c:v>
                </c:pt>
                <c:pt idx="14">
                  <c:v>360.88589880355823</c:v>
                </c:pt>
                <c:pt idx="15">
                  <c:v>360.70569042450211</c:v>
                </c:pt>
                <c:pt idx="16">
                  <c:v>360.51295426838266</c:v>
                </c:pt>
                <c:pt idx="17">
                  <c:v>360.30767023108552</c:v>
                </c:pt>
                <c:pt idx="18">
                  <c:v>360.08981685230123</c:v>
                </c:pt>
                <c:pt idx="19">
                  <c:v>359.85937130416727</c:v>
                </c:pt>
                <c:pt idx="20">
                  <c:v>359.61630937913918</c:v>
                </c:pt>
                <c:pt idx="21">
                  <c:v>359.36060547707564</c:v>
                </c:pt>
                <c:pt idx="22">
                  <c:v>359.09223259152174</c:v>
                </c:pt>
                <c:pt idx="23">
                  <c:v>358.81116229517198</c:v>
                </c:pt>
                <c:pt idx="24">
                  <c:v>358.51736472449477</c:v>
                </c:pt>
                <c:pt idx="25">
                  <c:v>358.21080856349948</c:v>
                </c:pt>
                <c:pt idx="26">
                  <c:v>357.89146102662363</c:v>
                </c:pt>
                <c:pt idx="27">
                  <c:v>357.55928784071864</c:v>
                </c:pt>
                <c:pt idx="28">
                  <c:v>357.21425322611088</c:v>
                </c:pt>
                <c:pt idx="29">
                  <c:v>356.85631987671132</c:v>
                </c:pt>
                <c:pt idx="30">
                  <c:v>356.48544893914936</c:v>
                </c:pt>
                <c:pt idx="31">
                  <c:v>356.10159999090075</c:v>
                </c:pt>
                <c:pt idx="32">
                  <c:v>355.70473101738139</c:v>
                </c:pt>
                <c:pt idx="33">
                  <c:v>355.29479838797425</c:v>
                </c:pt>
                <c:pt idx="34">
                  <c:v>354.87175683095774</c:v>
                </c:pt>
                <c:pt idx="35">
                  <c:v>354.43555940729908</c:v>
                </c:pt>
                <c:pt idx="36">
                  <c:v>353.98615748327666</c:v>
                </c:pt>
                <c:pt idx="37">
                  <c:v>353.5235007018922</c:v>
                </c:pt>
                <c:pt idx="38">
                  <c:v>353.04753695303117</c:v>
                </c:pt>
                <c:pt idx="39">
                  <c:v>352.55821234232866</c:v>
                </c:pt>
                <c:pt idx="40">
                  <c:v>352.05547115869484</c:v>
                </c:pt>
                <c:pt idx="41">
                  <c:v>351.53925584045123</c:v>
                </c:pt>
                <c:pt idx="42">
                  <c:v>351.00950694002768</c:v>
                </c:pt>
                <c:pt idx="43">
                  <c:v>350.46616308716585</c:v>
                </c:pt>
                <c:pt idx="44">
                  <c:v>349.90916095057304</c:v>
                </c:pt>
                <c:pt idx="45">
                  <c:v>349.33843519796619</c:v>
                </c:pt>
                <c:pt idx="46">
                  <c:v>348.75391845444364</c:v>
                </c:pt>
                <c:pt idx="47">
                  <c:v>348.15554125911785</c:v>
                </c:pt>
                <c:pt idx="48">
                  <c:v>347.54323201993935</c:v>
                </c:pt>
                <c:pt idx="49">
                  <c:v>346.91691696663764</c:v>
                </c:pt>
                <c:pt idx="50">
                  <c:v>346.27652010170146</c:v>
                </c:pt>
                <c:pt idx="51">
                  <c:v>345.62196314931521</c:v>
                </c:pt>
                <c:pt idx="52">
                  <c:v>344.95316550216592</c:v>
                </c:pt>
                <c:pt idx="53">
                  <c:v>344.27004416602711</c:v>
                </c:pt>
                <c:pt idx="54">
                  <c:v>343.5725137020238</c:v>
                </c:pt>
                <c:pt idx="55">
                  <c:v>342.86048616647543</c:v>
                </c:pt>
                <c:pt idx="56">
                  <c:v>342.13387104820816</c:v>
                </c:pt>
                <c:pt idx="57">
                  <c:v>341.39257520322184</c:v>
                </c:pt>
                <c:pt idx="58">
                  <c:v>340.63650278658997</c:v>
                </c:pt>
                <c:pt idx="59">
                  <c:v>339.86555518146452</c:v>
                </c:pt>
                <c:pt idx="60">
                  <c:v>339.07963092504855</c:v>
                </c:pt>
                <c:pt idx="61">
                  <c:v>338.27862563139377</c:v>
                </c:pt>
                <c:pt idx="62">
                  <c:v>337.4624319108687</c:v>
                </c:pt>
                <c:pt idx="63">
                  <c:v>336.63093928613608</c:v>
                </c:pt>
                <c:pt idx="64">
                  <c:v>335.78403410446759</c:v>
                </c:pt>
                <c:pt idx="65">
                  <c:v>334.92159944621335</c:v>
                </c:pt>
                <c:pt idx="66">
                  <c:v>334.04351502923208</c:v>
                </c:pt>
                <c:pt idx="67">
                  <c:v>333.1496571090766</c:v>
                </c:pt>
                <c:pt idx="68">
                  <c:v>332.23989837471561</c:v>
                </c:pt>
                <c:pt idx="69">
                  <c:v>331.31410783955886</c:v>
                </c:pt>
                <c:pt idx="70">
                  <c:v>330.37215072753918</c:v>
                </c:pt>
                <c:pt idx="71">
                  <c:v>329.41388835398601</c:v>
                </c:pt>
                <c:pt idx="72">
                  <c:v>328.4391780010119</c:v>
                </c:pt>
                <c:pt idx="73">
                  <c:v>327.44787278711073</c:v>
                </c:pt>
                <c:pt idx="74">
                  <c:v>326.43982153065036</c:v>
                </c:pt>
                <c:pt idx="75">
                  <c:v>325.41486860691742</c:v>
                </c:pt>
                <c:pt idx="76">
                  <c:v>324.37285379835242</c:v>
                </c:pt>
                <c:pt idx="77">
                  <c:v>323.3136121375851</c:v>
                </c:pt>
                <c:pt idx="78">
                  <c:v>322.23697374285558</c:v>
                </c:pt>
                <c:pt idx="79">
                  <c:v>321.14276364537665</c:v>
                </c:pt>
                <c:pt idx="80">
                  <c:v>320.0308016081612</c:v>
                </c:pt>
                <c:pt idx="81">
                  <c:v>318.90090193580465</c:v>
                </c:pt>
                <c:pt idx="82">
                  <c:v>317.75287327467657</c:v>
                </c:pt>
                <c:pt idx="83">
                  <c:v>316.58651840293379</c:v>
                </c:pt>
                <c:pt idx="84">
                  <c:v>315.40163400972591</c:v>
                </c:pt>
                <c:pt idx="85">
                  <c:v>314.19801046291582</c:v>
                </c:pt>
                <c:pt idx="86">
                  <c:v>312.97543156458704</c:v>
                </c:pt>
                <c:pt idx="87">
                  <c:v>311.73367429355454</c:v>
                </c:pt>
                <c:pt idx="88">
                  <c:v>310.47250853403409</c:v>
                </c:pt>
                <c:pt idx="89">
                  <c:v>309.19169678956013</c:v>
                </c:pt>
                <c:pt idx="90">
                  <c:v>307.89099388116932</c:v>
                </c:pt>
                <c:pt idx="91">
                  <c:v>306.57014662878817</c:v>
                </c:pt>
                <c:pt idx="92">
                  <c:v>305.22889351467796</c:v>
                </c:pt>
                <c:pt idx="93">
                  <c:v>303.86696432769395</c:v>
                </c:pt>
                <c:pt idx="94">
                  <c:v>302.48407978701454</c:v>
                </c:pt>
                <c:pt idx="95">
                  <c:v>301.07995114388035</c:v>
                </c:pt>
                <c:pt idx="96">
                  <c:v>299.65427975976132</c:v>
                </c:pt>
                <c:pt idx="97">
                  <c:v>298.20675665922914</c:v>
                </c:pt>
                <c:pt idx="98">
                  <c:v>296.73706205566509</c:v>
                </c:pt>
                <c:pt idx="99">
                  <c:v>295.24486484776332</c:v>
                </c:pt>
                <c:pt idx="100">
                  <c:v>293.72982208460877</c:v>
                </c:pt>
                <c:pt idx="101">
                  <c:v>292.19157839690268</c:v>
                </c:pt>
                <c:pt idx="102">
                  <c:v>290.62976539168562</c:v>
                </c:pt>
                <c:pt idx="103">
                  <c:v>289.0440010076573</c:v>
                </c:pt>
                <c:pt idx="104">
                  <c:v>287.4338888279155</c:v>
                </c:pt>
                <c:pt idx="105">
                  <c:v>285.79901734662747</c:v>
                </c:pt>
                <c:pt idx="106">
                  <c:v>284.13895918580533</c:v>
                </c:pt>
                <c:pt idx="107">
                  <c:v>282.45327025797229</c:v>
                </c:pt>
                <c:pt idx="108">
                  <c:v>280.74148887007965</c:v>
                </c:pt>
                <c:pt idx="109">
                  <c:v>279.00313476355495</c:v>
                </c:pt>
                <c:pt idx="110">
                  <c:v>277.23770808482607</c:v>
                </c:pt>
                <c:pt idx="111">
                  <c:v>275.44468828006029</c:v>
                </c:pt>
                <c:pt idx="112">
                  <c:v>273.62353290718158</c:v>
                </c:pt>
                <c:pt idx="113">
                  <c:v>271.77367635746253</c:v>
                </c:pt>
                <c:pt idx="114">
                  <c:v>269.89452847812549</c:v>
                </c:pt>
                <c:pt idx="115">
                  <c:v>267.98547308640451</c:v>
                </c:pt>
                <c:pt idx="116">
                  <c:v>266.0458663644182</c:v>
                </c:pt>
                <c:pt idx="117">
                  <c:v>264.07503512293476</c:v>
                </c:pt>
                <c:pt idx="118">
                  <c:v>262.07227492067921</c:v>
                </c:pt>
                <c:pt idx="119">
                  <c:v>260.03684802419133</c:v>
                </c:pt>
                <c:pt idx="120">
                  <c:v>257.96798119136457</c:v>
                </c:pt>
                <c:pt idx="121">
                  <c:v>255.8648632596425</c:v>
                </c:pt>
                <c:pt idx="122">
                  <c:v>253.7266425173722</c:v>
                </c:pt>
                <c:pt idx="123">
                  <c:v>251.55242383395293</c:v>
                </c:pt>
                <c:pt idx="124">
                  <c:v>249.34126552111371</c:v>
                </c:pt>
                <c:pt idx="125">
                  <c:v>247.09217589381464</c:v>
                </c:pt>
                <c:pt idx="126">
                  <c:v>244.80410949480535</c:v>
                </c:pt>
                <c:pt idx="127">
                  <c:v>242.47596294165933</c:v>
                </c:pt>
                <c:pt idx="128">
                  <c:v>240.10657034900308</c:v>
                </c:pt>
                <c:pt idx="129">
                  <c:v>237.6946982714845</c:v>
                </c:pt>
                <c:pt idx="130">
                  <c:v>235.23904010456869</c:v>
                </c:pt>
                <c:pt idx="131">
                  <c:v>232.7382098702341</c:v>
                </c:pt>
                <c:pt idx="132">
                  <c:v>230.19073530274622</c:v>
                </c:pt>
                <c:pt idx="133">
                  <c:v>227.5950501354813</c:v>
                </c:pt>
                <c:pt idx="134">
                  <c:v>224.9494854727634</c:v>
                </c:pt>
                <c:pt idx="135">
                  <c:v>222.25226011018484</c:v>
                </c:pt>
                <c:pt idx="136">
                  <c:v>219.50146964210757</c:v>
                </c:pt>
                <c:pt idx="137">
                  <c:v>216.69507416492027</c:v>
                </c:pt>
                <c:pt idx="138">
                  <c:v>213.83088434782081</c:v>
                </c:pt>
                <c:pt idx="139">
                  <c:v>210.90654559765886</c:v>
                </c:pt>
                <c:pt idx="140">
                  <c:v>207.9195199884781</c:v>
                </c:pt>
                <c:pt idx="141">
                  <c:v>204.86706555685413</c:v>
                </c:pt>
                <c:pt idx="142">
                  <c:v>201.74621247708504</c:v>
                </c:pt>
                <c:pt idx="143">
                  <c:v>198.55373552053203</c:v>
                </c:pt>
                <c:pt idx="144">
                  <c:v>195.28612206401445</c:v>
                </c:pt>
                <c:pt idx="145">
                  <c:v>191.93953473367696</c:v>
                </c:pt>
                <c:pt idx="146">
                  <c:v>188.50976754029253</c:v>
                </c:pt>
                <c:pt idx="147">
                  <c:v>184.99219406165588</c:v>
                </c:pt>
                <c:pt idx="148">
                  <c:v>181.38170583256488</c:v>
                </c:pt>
                <c:pt idx="149">
                  <c:v>177.6726385773913</c:v>
                </c:pt>
                <c:pt idx="150">
                  <c:v>173.85868321343361</c:v>
                </c:pt>
                <c:pt idx="151">
                  <c:v>169.93277759073223</c:v>
                </c:pt>
                <c:pt idx="152">
                  <c:v>165.88697360561196</c:v>
                </c:pt>
                <c:pt idx="153">
                  <c:v>161.71227246468405</c:v>
                </c:pt>
                <c:pt idx="154">
                  <c:v>157.39841822804618</c:v>
                </c:pt>
                <c:pt idx="155">
                  <c:v>152.933635924296</c:v>
                </c:pt>
                <c:pt idx="156">
                  <c:v>148.30429486260627</c:v>
                </c:pt>
                <c:pt idx="157">
                  <c:v>143.49446920944396</c:v>
                </c:pt>
                <c:pt idx="158">
                  <c:v>138.48535465543173</c:v>
                </c:pt>
                <c:pt idx="159">
                  <c:v>133.2544789330434</c:v>
                </c:pt>
                <c:pt idx="160">
                  <c:v>127.77460936637074</c:v>
                </c:pt>
                <c:pt idx="161">
                  <c:v>122.01220177947685</c:v>
                </c:pt>
                <c:pt idx="162">
                  <c:v>115.92513061781951</c:v>
                </c:pt>
                <c:pt idx="163">
                  <c:v>109.45924527319137</c:v>
                </c:pt>
                <c:pt idx="164">
                  <c:v>102.54291191559935</c:v>
                </c:pt>
                <c:pt idx="165">
                  <c:v>95.077879308593808</c:v>
                </c:pt>
                <c:pt idx="166">
                  <c:v>86.922893560006472</c:v>
                </c:pt>
                <c:pt idx="167">
                  <c:v>77.861464520033067</c:v>
                </c:pt>
                <c:pt idx="168">
                  <c:v>67.529681110605324</c:v>
                </c:pt>
                <c:pt idx="169">
                  <c:v>55.219017973259788</c:v>
                </c:pt>
                <c:pt idx="170">
                  <c:v>39.103120109498526</c:v>
                </c:pt>
                <c:pt idx="171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Foglio2!$AA$4:$AA$175</c:f>
              <c:numCache>
                <c:formatCode>0.0</c:formatCode>
                <c:ptCount val="172"/>
                <c:pt idx="0">
                  <c:v>0</c:v>
                </c:pt>
                <c:pt idx="1">
                  <c:v>-4.7685296737477687</c:v>
                </c:pt>
                <c:pt idx="2">
                  <c:v>-9.5370593474955374</c:v>
                </c:pt>
                <c:pt idx="3">
                  <c:v>-14.305589021243307</c:v>
                </c:pt>
                <c:pt idx="4">
                  <c:v>-19.074118694991075</c:v>
                </c:pt>
                <c:pt idx="5">
                  <c:v>-23.842648368738846</c:v>
                </c:pt>
                <c:pt idx="6">
                  <c:v>-28.611178042486614</c:v>
                </c:pt>
                <c:pt idx="7">
                  <c:v>-33.379707716234385</c:v>
                </c:pt>
                <c:pt idx="8">
                  <c:v>-38.14823738998215</c:v>
                </c:pt>
                <c:pt idx="9">
                  <c:v>-42.916767063729921</c:v>
                </c:pt>
                <c:pt idx="10">
                  <c:v>-47.685296737477692</c:v>
                </c:pt>
                <c:pt idx="11">
                  <c:v>-52.453826411225457</c:v>
                </c:pt>
                <c:pt idx="12">
                  <c:v>-57.222356084973228</c:v>
                </c:pt>
                <c:pt idx="13">
                  <c:v>-61.990885758720999</c:v>
                </c:pt>
                <c:pt idx="14">
                  <c:v>-66.759415432468771</c:v>
                </c:pt>
                <c:pt idx="15">
                  <c:v>-71.527945106216535</c:v>
                </c:pt>
                <c:pt idx="16">
                  <c:v>-76.296474779964299</c:v>
                </c:pt>
                <c:pt idx="17">
                  <c:v>-81.065004453712078</c:v>
                </c:pt>
                <c:pt idx="18">
                  <c:v>-85.833534127459842</c:v>
                </c:pt>
                <c:pt idx="19">
                  <c:v>-90.602063801207606</c:v>
                </c:pt>
                <c:pt idx="20">
                  <c:v>-95.370593474955385</c:v>
                </c:pt>
                <c:pt idx="21">
                  <c:v>-100.13912314870315</c:v>
                </c:pt>
                <c:pt idx="22">
                  <c:v>-104.90765282245091</c:v>
                </c:pt>
                <c:pt idx="23">
                  <c:v>-109.67618249619869</c:v>
                </c:pt>
                <c:pt idx="24">
                  <c:v>-114.44471216994646</c:v>
                </c:pt>
                <c:pt idx="25">
                  <c:v>-119.21324184369422</c:v>
                </c:pt>
                <c:pt idx="26">
                  <c:v>-123.981771517442</c:v>
                </c:pt>
                <c:pt idx="27">
                  <c:v>-128.75030119118975</c:v>
                </c:pt>
                <c:pt idx="28">
                  <c:v>-133.51883086493754</c:v>
                </c:pt>
                <c:pt idx="29">
                  <c:v>-138.28736053868531</c:v>
                </c:pt>
                <c:pt idx="30">
                  <c:v>-143.05589021243307</c:v>
                </c:pt>
                <c:pt idx="31">
                  <c:v>-147.82441988618083</c:v>
                </c:pt>
                <c:pt idx="32">
                  <c:v>-152.5929495599286</c:v>
                </c:pt>
                <c:pt idx="33">
                  <c:v>-157.36147923367636</c:v>
                </c:pt>
                <c:pt idx="34">
                  <c:v>-162.13000890742416</c:v>
                </c:pt>
                <c:pt idx="35">
                  <c:v>-166.89853858117192</c:v>
                </c:pt>
                <c:pt idx="36">
                  <c:v>-171.66706825491968</c:v>
                </c:pt>
                <c:pt idx="37">
                  <c:v>-176.43559792866745</c:v>
                </c:pt>
                <c:pt idx="38">
                  <c:v>-181.20412760241521</c:v>
                </c:pt>
                <c:pt idx="39">
                  <c:v>-185.97265727616298</c:v>
                </c:pt>
                <c:pt idx="40">
                  <c:v>-190.74118694991077</c:v>
                </c:pt>
                <c:pt idx="41">
                  <c:v>-195.50971662365853</c:v>
                </c:pt>
                <c:pt idx="42">
                  <c:v>-200.2782462974063</c:v>
                </c:pt>
                <c:pt idx="43">
                  <c:v>-205.04677597115406</c:v>
                </c:pt>
                <c:pt idx="44">
                  <c:v>-209.81530564490183</c:v>
                </c:pt>
                <c:pt idx="45">
                  <c:v>-214.58383531864959</c:v>
                </c:pt>
                <c:pt idx="46">
                  <c:v>-219.35236499239738</c:v>
                </c:pt>
                <c:pt idx="47">
                  <c:v>-224.12089466614515</c:v>
                </c:pt>
                <c:pt idx="48">
                  <c:v>-228.88942433989291</c:v>
                </c:pt>
                <c:pt idx="49">
                  <c:v>-233.65795401364068</c:v>
                </c:pt>
                <c:pt idx="50">
                  <c:v>-238.42648368738844</c:v>
                </c:pt>
                <c:pt idx="51">
                  <c:v>-243.1950133611362</c:v>
                </c:pt>
                <c:pt idx="52">
                  <c:v>-247.963543034884</c:v>
                </c:pt>
                <c:pt idx="53">
                  <c:v>-252.73207270863176</c:v>
                </c:pt>
                <c:pt idx="54">
                  <c:v>-257.5006023823795</c:v>
                </c:pt>
                <c:pt idx="55">
                  <c:v>-262.26913205612732</c:v>
                </c:pt>
                <c:pt idx="56">
                  <c:v>-267.03766172987508</c:v>
                </c:pt>
                <c:pt idx="57">
                  <c:v>-271.80619140362285</c:v>
                </c:pt>
                <c:pt idx="58">
                  <c:v>-276.57472107737061</c:v>
                </c:pt>
                <c:pt idx="59">
                  <c:v>-281.34325075111838</c:v>
                </c:pt>
                <c:pt idx="60">
                  <c:v>-286.11178042486614</c:v>
                </c:pt>
                <c:pt idx="61">
                  <c:v>-290.8803100986139</c:v>
                </c:pt>
                <c:pt idx="62">
                  <c:v>-295.64883977236167</c:v>
                </c:pt>
                <c:pt idx="63">
                  <c:v>-300.41736944610943</c:v>
                </c:pt>
                <c:pt idx="64">
                  <c:v>-305.1858991198572</c:v>
                </c:pt>
                <c:pt idx="65">
                  <c:v>-309.95442879360496</c:v>
                </c:pt>
                <c:pt idx="66">
                  <c:v>-314.72295846735273</c:v>
                </c:pt>
                <c:pt idx="67">
                  <c:v>-319.49148814110055</c:v>
                </c:pt>
                <c:pt idx="68">
                  <c:v>-324.26001781484831</c:v>
                </c:pt>
                <c:pt idx="69">
                  <c:v>-329.02854748859608</c:v>
                </c:pt>
                <c:pt idx="70">
                  <c:v>-333.79707716234384</c:v>
                </c:pt>
                <c:pt idx="71">
                  <c:v>-338.5656068360916</c:v>
                </c:pt>
                <c:pt idx="72">
                  <c:v>-343.33413650983937</c:v>
                </c:pt>
                <c:pt idx="73">
                  <c:v>-348.10266618358713</c:v>
                </c:pt>
                <c:pt idx="74">
                  <c:v>-352.8711958573349</c:v>
                </c:pt>
                <c:pt idx="75">
                  <c:v>-357.63972553108266</c:v>
                </c:pt>
                <c:pt idx="76">
                  <c:v>-362.40825520483043</c:v>
                </c:pt>
                <c:pt idx="77">
                  <c:v>-367.17678487857819</c:v>
                </c:pt>
                <c:pt idx="78">
                  <c:v>-371.94531455232595</c:v>
                </c:pt>
                <c:pt idx="79">
                  <c:v>-376.71384422607377</c:v>
                </c:pt>
                <c:pt idx="80">
                  <c:v>-381.48237389982154</c:v>
                </c:pt>
                <c:pt idx="81">
                  <c:v>-386.2509035735693</c:v>
                </c:pt>
                <c:pt idx="82">
                  <c:v>-391.01943324731707</c:v>
                </c:pt>
                <c:pt idx="83">
                  <c:v>-395.78796292106483</c:v>
                </c:pt>
                <c:pt idx="84">
                  <c:v>-400.5564925948126</c:v>
                </c:pt>
                <c:pt idx="85">
                  <c:v>-405.32502226856036</c:v>
                </c:pt>
                <c:pt idx="86">
                  <c:v>-410.09355194230812</c:v>
                </c:pt>
                <c:pt idx="87">
                  <c:v>-414.86208161605595</c:v>
                </c:pt>
                <c:pt idx="88">
                  <c:v>-419.63061128980365</c:v>
                </c:pt>
                <c:pt idx="89">
                  <c:v>-424.39914096355147</c:v>
                </c:pt>
                <c:pt idx="90">
                  <c:v>-429.16767063729918</c:v>
                </c:pt>
                <c:pt idx="91">
                  <c:v>-433.936200311047</c:v>
                </c:pt>
                <c:pt idx="92">
                  <c:v>-438.70472998479477</c:v>
                </c:pt>
                <c:pt idx="93">
                  <c:v>-443.47325965854259</c:v>
                </c:pt>
                <c:pt idx="94">
                  <c:v>-448.2417893322903</c:v>
                </c:pt>
                <c:pt idx="95">
                  <c:v>-453.01031900603812</c:v>
                </c:pt>
                <c:pt idx="96">
                  <c:v>-457.77884867978582</c:v>
                </c:pt>
                <c:pt idx="97">
                  <c:v>-462.54737835353365</c:v>
                </c:pt>
                <c:pt idx="98">
                  <c:v>-467.31590802728135</c:v>
                </c:pt>
                <c:pt idx="99">
                  <c:v>-472.08443770102917</c:v>
                </c:pt>
                <c:pt idx="100">
                  <c:v>-476.85296737477688</c:v>
                </c:pt>
                <c:pt idx="101">
                  <c:v>-481.6214970485247</c:v>
                </c:pt>
                <c:pt idx="102">
                  <c:v>-486.39002672227241</c:v>
                </c:pt>
                <c:pt idx="103">
                  <c:v>-491.15855639602023</c:v>
                </c:pt>
                <c:pt idx="104">
                  <c:v>-495.927086069768</c:v>
                </c:pt>
                <c:pt idx="105">
                  <c:v>-500.69561574351582</c:v>
                </c:pt>
                <c:pt idx="106">
                  <c:v>-505.46414541726352</c:v>
                </c:pt>
                <c:pt idx="107">
                  <c:v>-510.23267509101134</c:v>
                </c:pt>
                <c:pt idx="108">
                  <c:v>-515.001204764759</c:v>
                </c:pt>
                <c:pt idx="109">
                  <c:v>-519.76973443850682</c:v>
                </c:pt>
                <c:pt idx="110">
                  <c:v>-524.53826411225464</c:v>
                </c:pt>
                <c:pt idx="111">
                  <c:v>-529.30679378600246</c:v>
                </c:pt>
                <c:pt idx="112">
                  <c:v>-534.07532345975017</c:v>
                </c:pt>
                <c:pt idx="113">
                  <c:v>-538.84385313349799</c:v>
                </c:pt>
                <c:pt idx="114">
                  <c:v>-543.61238280724569</c:v>
                </c:pt>
                <c:pt idx="115">
                  <c:v>-548.38091248099352</c:v>
                </c:pt>
                <c:pt idx="116">
                  <c:v>-553.14944215474122</c:v>
                </c:pt>
                <c:pt idx="117">
                  <c:v>-557.91797182848904</c:v>
                </c:pt>
                <c:pt idx="118">
                  <c:v>-562.68650150223675</c:v>
                </c:pt>
                <c:pt idx="119">
                  <c:v>-567.45503117598457</c:v>
                </c:pt>
                <c:pt idx="120">
                  <c:v>-572.22356084973228</c:v>
                </c:pt>
                <c:pt idx="121">
                  <c:v>-576.9920905234801</c:v>
                </c:pt>
                <c:pt idx="122">
                  <c:v>-581.76062019722781</c:v>
                </c:pt>
                <c:pt idx="123">
                  <c:v>-586.52914987097563</c:v>
                </c:pt>
                <c:pt idx="124">
                  <c:v>-591.29767954472334</c:v>
                </c:pt>
                <c:pt idx="125">
                  <c:v>-596.06620921847116</c:v>
                </c:pt>
                <c:pt idx="126">
                  <c:v>-600.83473889221887</c:v>
                </c:pt>
                <c:pt idx="127">
                  <c:v>-605.60326856596669</c:v>
                </c:pt>
                <c:pt idx="128">
                  <c:v>-610.37179823971439</c:v>
                </c:pt>
                <c:pt idx="129">
                  <c:v>-615.14032791346222</c:v>
                </c:pt>
                <c:pt idx="130">
                  <c:v>-619.90885758720992</c:v>
                </c:pt>
                <c:pt idx="131">
                  <c:v>-624.67738726095774</c:v>
                </c:pt>
                <c:pt idx="132">
                  <c:v>-629.44591693470545</c:v>
                </c:pt>
                <c:pt idx="133">
                  <c:v>-634.21444660845327</c:v>
                </c:pt>
                <c:pt idx="134">
                  <c:v>-638.98297628220109</c:v>
                </c:pt>
                <c:pt idx="135">
                  <c:v>-643.75150595594891</c:v>
                </c:pt>
                <c:pt idx="136">
                  <c:v>-648.52003562969662</c:v>
                </c:pt>
                <c:pt idx="137">
                  <c:v>-653.28856530344444</c:v>
                </c:pt>
                <c:pt idx="138">
                  <c:v>-658.05709497719215</c:v>
                </c:pt>
                <c:pt idx="139">
                  <c:v>-662.82562465093997</c:v>
                </c:pt>
                <c:pt idx="140">
                  <c:v>-667.59415432468768</c:v>
                </c:pt>
                <c:pt idx="141">
                  <c:v>-672.3626839984355</c:v>
                </c:pt>
                <c:pt idx="142">
                  <c:v>-677.13121367218321</c:v>
                </c:pt>
                <c:pt idx="143">
                  <c:v>-681.89974334593103</c:v>
                </c:pt>
                <c:pt idx="144">
                  <c:v>-686.66827301967874</c:v>
                </c:pt>
                <c:pt idx="145">
                  <c:v>-691.43680269342656</c:v>
                </c:pt>
                <c:pt idx="146">
                  <c:v>-696.20533236717426</c:v>
                </c:pt>
                <c:pt idx="147">
                  <c:v>-700.97386204092209</c:v>
                </c:pt>
                <c:pt idx="148">
                  <c:v>-705.74239171466979</c:v>
                </c:pt>
                <c:pt idx="149">
                  <c:v>-710.51092138841761</c:v>
                </c:pt>
                <c:pt idx="150">
                  <c:v>-715.27945106216532</c:v>
                </c:pt>
                <c:pt idx="151">
                  <c:v>-720.04798073591314</c:v>
                </c:pt>
                <c:pt idx="152">
                  <c:v>-724.81651040966085</c:v>
                </c:pt>
                <c:pt idx="153">
                  <c:v>-729.58504008340867</c:v>
                </c:pt>
                <c:pt idx="154">
                  <c:v>-734.35356975715638</c:v>
                </c:pt>
                <c:pt idx="155">
                  <c:v>-739.1220994309042</c:v>
                </c:pt>
                <c:pt idx="156">
                  <c:v>-743.89062910465191</c:v>
                </c:pt>
                <c:pt idx="157">
                  <c:v>-748.65915877839973</c:v>
                </c:pt>
                <c:pt idx="158">
                  <c:v>-753.42768845214755</c:v>
                </c:pt>
                <c:pt idx="159">
                  <c:v>-758.19621812589537</c:v>
                </c:pt>
                <c:pt idx="160">
                  <c:v>-762.96474779964308</c:v>
                </c:pt>
                <c:pt idx="161">
                  <c:v>-767.7332774733909</c:v>
                </c:pt>
                <c:pt idx="162">
                  <c:v>-772.50180714713861</c:v>
                </c:pt>
                <c:pt idx="163">
                  <c:v>-777.27033682088643</c:v>
                </c:pt>
                <c:pt idx="164">
                  <c:v>-782.03886649463414</c:v>
                </c:pt>
                <c:pt idx="165">
                  <c:v>-786.80739616838196</c:v>
                </c:pt>
                <c:pt idx="166">
                  <c:v>-791.57592584212966</c:v>
                </c:pt>
                <c:pt idx="167">
                  <c:v>-796.34445551587748</c:v>
                </c:pt>
                <c:pt idx="168">
                  <c:v>-801.11298518962519</c:v>
                </c:pt>
                <c:pt idx="169">
                  <c:v>-805.88151486337301</c:v>
                </c:pt>
                <c:pt idx="170">
                  <c:v>-810.65004453712072</c:v>
                </c:pt>
                <c:pt idx="171">
                  <c:v>-815.41857421086854</c:v>
                </c:pt>
              </c:numCache>
            </c:numRef>
          </c:xVal>
          <c:yVal>
            <c:numRef>
              <c:f>Foglio2!$AB$4:$AB$175</c:f>
              <c:numCache>
                <c:formatCode>0.0</c:formatCode>
                <c:ptCount val="172"/>
                <c:pt idx="0">
                  <c:v>362.10150745940484</c:v>
                </c:pt>
                <c:pt idx="1">
                  <c:v>362.09531573197847</c:v>
                </c:pt>
                <c:pt idx="2">
                  <c:v>362.07673991440601</c:v>
                </c:pt>
                <c:pt idx="3">
                  <c:v>362.04577810048158</c:v>
                </c:pt>
                <c:pt idx="4">
                  <c:v>362.00242711210842</c:v>
                </c:pt>
                <c:pt idx="5">
                  <c:v>361.94668249766721</c:v>
                </c:pt>
                <c:pt idx="6">
                  <c:v>361.8785385297287</c:v>
                </c:pt>
                <c:pt idx="7">
                  <c:v>361.79798820210857</c:v>
                </c:pt>
                <c:pt idx="8">
                  <c:v>361.70502322626004</c:v>
                </c:pt>
                <c:pt idx="9">
                  <c:v>361.59963402700095</c:v>
                </c:pt>
                <c:pt idx="10">
                  <c:v>361.48180973756928</c:v>
                </c:pt>
                <c:pt idx="11">
                  <c:v>361.35153819400153</c:v>
                </c:pt>
                <c:pt idx="12">
                  <c:v>361.20880592882725</c:v>
                </c:pt>
                <c:pt idx="13">
                  <c:v>361.05359816407156</c:v>
                </c:pt>
                <c:pt idx="14">
                  <c:v>360.88589880355823</c:v>
                </c:pt>
                <c:pt idx="15">
                  <c:v>360.70569042450211</c:v>
                </c:pt>
                <c:pt idx="16">
                  <c:v>360.51295426838266</c:v>
                </c:pt>
                <c:pt idx="17">
                  <c:v>360.30767023108552</c:v>
                </c:pt>
                <c:pt idx="18">
                  <c:v>360.08981685230123</c:v>
                </c:pt>
                <c:pt idx="19">
                  <c:v>359.85937130416727</c:v>
                </c:pt>
                <c:pt idx="20">
                  <c:v>359.61630937913918</c:v>
                </c:pt>
                <c:pt idx="21">
                  <c:v>359.36060547707564</c:v>
                </c:pt>
                <c:pt idx="22">
                  <c:v>359.09223259152174</c:v>
                </c:pt>
                <c:pt idx="23">
                  <c:v>358.81116229517198</c:v>
                </c:pt>
                <c:pt idx="24">
                  <c:v>358.51736472449477</c:v>
                </c:pt>
                <c:pt idx="25">
                  <c:v>358.21080856349948</c:v>
                </c:pt>
                <c:pt idx="26">
                  <c:v>357.89146102662363</c:v>
                </c:pt>
                <c:pt idx="27">
                  <c:v>357.55928784071864</c:v>
                </c:pt>
                <c:pt idx="28">
                  <c:v>357.21425322611088</c:v>
                </c:pt>
                <c:pt idx="29">
                  <c:v>356.85631987671132</c:v>
                </c:pt>
                <c:pt idx="30">
                  <c:v>356.48544893914936</c:v>
                </c:pt>
                <c:pt idx="31">
                  <c:v>356.10159999090075</c:v>
                </c:pt>
                <c:pt idx="32">
                  <c:v>355.70473101738139</c:v>
                </c:pt>
                <c:pt idx="33">
                  <c:v>355.29479838797425</c:v>
                </c:pt>
                <c:pt idx="34">
                  <c:v>354.87175683095774</c:v>
                </c:pt>
                <c:pt idx="35">
                  <c:v>354.43555940729908</c:v>
                </c:pt>
                <c:pt idx="36">
                  <c:v>353.98615748327666</c:v>
                </c:pt>
                <c:pt idx="37">
                  <c:v>353.5235007018922</c:v>
                </c:pt>
                <c:pt idx="38">
                  <c:v>353.04753695303117</c:v>
                </c:pt>
                <c:pt idx="39">
                  <c:v>352.55821234232866</c:v>
                </c:pt>
                <c:pt idx="40">
                  <c:v>352.05547115869484</c:v>
                </c:pt>
                <c:pt idx="41">
                  <c:v>351.53925584045123</c:v>
                </c:pt>
                <c:pt idx="42">
                  <c:v>351.00950694002768</c:v>
                </c:pt>
                <c:pt idx="43">
                  <c:v>350.46616308716585</c:v>
                </c:pt>
                <c:pt idx="44">
                  <c:v>349.90916095057304</c:v>
                </c:pt>
                <c:pt idx="45">
                  <c:v>349.33843519796619</c:v>
                </c:pt>
                <c:pt idx="46">
                  <c:v>348.75391845444364</c:v>
                </c:pt>
                <c:pt idx="47">
                  <c:v>348.15554125911785</c:v>
                </c:pt>
                <c:pt idx="48">
                  <c:v>347.54323201993935</c:v>
                </c:pt>
                <c:pt idx="49">
                  <c:v>346.91691696663764</c:v>
                </c:pt>
                <c:pt idx="50">
                  <c:v>346.27652010170146</c:v>
                </c:pt>
                <c:pt idx="51">
                  <c:v>345.62196314931521</c:v>
                </c:pt>
                <c:pt idx="52">
                  <c:v>344.95316550216592</c:v>
                </c:pt>
                <c:pt idx="53">
                  <c:v>344.27004416602711</c:v>
                </c:pt>
                <c:pt idx="54">
                  <c:v>343.5725137020238</c:v>
                </c:pt>
                <c:pt idx="55">
                  <c:v>342.86048616647543</c:v>
                </c:pt>
                <c:pt idx="56">
                  <c:v>342.13387104820816</c:v>
                </c:pt>
                <c:pt idx="57">
                  <c:v>341.39257520322184</c:v>
                </c:pt>
                <c:pt idx="58">
                  <c:v>340.63650278658997</c:v>
                </c:pt>
                <c:pt idx="59">
                  <c:v>339.86555518146452</c:v>
                </c:pt>
                <c:pt idx="60">
                  <c:v>339.07963092504855</c:v>
                </c:pt>
                <c:pt idx="61">
                  <c:v>338.27862563139377</c:v>
                </c:pt>
                <c:pt idx="62">
                  <c:v>337.4624319108687</c:v>
                </c:pt>
                <c:pt idx="63">
                  <c:v>336.63093928613608</c:v>
                </c:pt>
                <c:pt idx="64">
                  <c:v>335.78403410446759</c:v>
                </c:pt>
                <c:pt idx="65">
                  <c:v>334.92159944621335</c:v>
                </c:pt>
                <c:pt idx="66">
                  <c:v>334.04351502923208</c:v>
                </c:pt>
                <c:pt idx="67">
                  <c:v>333.1496571090766</c:v>
                </c:pt>
                <c:pt idx="68">
                  <c:v>332.23989837471561</c:v>
                </c:pt>
                <c:pt idx="69">
                  <c:v>331.31410783955886</c:v>
                </c:pt>
                <c:pt idx="70">
                  <c:v>330.37215072753918</c:v>
                </c:pt>
                <c:pt idx="71">
                  <c:v>329.41388835398601</c:v>
                </c:pt>
                <c:pt idx="72">
                  <c:v>328.4391780010119</c:v>
                </c:pt>
                <c:pt idx="73">
                  <c:v>327.44787278711073</c:v>
                </c:pt>
                <c:pt idx="74">
                  <c:v>326.43982153065036</c:v>
                </c:pt>
                <c:pt idx="75">
                  <c:v>325.41486860691742</c:v>
                </c:pt>
                <c:pt idx="76">
                  <c:v>324.37285379835242</c:v>
                </c:pt>
                <c:pt idx="77">
                  <c:v>323.3136121375851</c:v>
                </c:pt>
                <c:pt idx="78">
                  <c:v>322.23697374285558</c:v>
                </c:pt>
                <c:pt idx="79">
                  <c:v>321.14276364537665</c:v>
                </c:pt>
                <c:pt idx="80">
                  <c:v>320.0308016081612</c:v>
                </c:pt>
                <c:pt idx="81">
                  <c:v>318.90090193580465</c:v>
                </c:pt>
                <c:pt idx="82">
                  <c:v>317.75287327467657</c:v>
                </c:pt>
                <c:pt idx="83">
                  <c:v>316.58651840293379</c:v>
                </c:pt>
                <c:pt idx="84">
                  <c:v>315.40163400972591</c:v>
                </c:pt>
                <c:pt idx="85">
                  <c:v>314.19801046291582</c:v>
                </c:pt>
                <c:pt idx="86">
                  <c:v>312.97543156458704</c:v>
                </c:pt>
                <c:pt idx="87">
                  <c:v>311.73367429355454</c:v>
                </c:pt>
                <c:pt idx="88">
                  <c:v>310.47250853403409</c:v>
                </c:pt>
                <c:pt idx="89">
                  <c:v>309.19169678956013</c:v>
                </c:pt>
                <c:pt idx="90">
                  <c:v>307.89099388116932</c:v>
                </c:pt>
                <c:pt idx="91">
                  <c:v>306.57014662878817</c:v>
                </c:pt>
                <c:pt idx="92">
                  <c:v>305.22889351467796</c:v>
                </c:pt>
                <c:pt idx="93">
                  <c:v>303.86696432769395</c:v>
                </c:pt>
                <c:pt idx="94">
                  <c:v>302.48407978701454</c:v>
                </c:pt>
                <c:pt idx="95">
                  <c:v>301.07995114388035</c:v>
                </c:pt>
                <c:pt idx="96">
                  <c:v>299.65427975976132</c:v>
                </c:pt>
                <c:pt idx="97">
                  <c:v>298.20675665922914</c:v>
                </c:pt>
                <c:pt idx="98">
                  <c:v>296.73706205566509</c:v>
                </c:pt>
                <c:pt idx="99">
                  <c:v>295.24486484776332</c:v>
                </c:pt>
                <c:pt idx="100">
                  <c:v>293.72982208460877</c:v>
                </c:pt>
                <c:pt idx="101">
                  <c:v>292.19157839690268</c:v>
                </c:pt>
                <c:pt idx="102">
                  <c:v>290.62976539168562</c:v>
                </c:pt>
                <c:pt idx="103">
                  <c:v>289.0440010076573</c:v>
                </c:pt>
                <c:pt idx="104">
                  <c:v>287.4338888279155</c:v>
                </c:pt>
                <c:pt idx="105">
                  <c:v>285.79901734662747</c:v>
                </c:pt>
                <c:pt idx="106">
                  <c:v>284.13895918580533</c:v>
                </c:pt>
                <c:pt idx="107">
                  <c:v>282.45327025797229</c:v>
                </c:pt>
                <c:pt idx="108">
                  <c:v>280.74148887007965</c:v>
                </c:pt>
                <c:pt idx="109">
                  <c:v>279.00313476355495</c:v>
                </c:pt>
                <c:pt idx="110">
                  <c:v>277.23770808482607</c:v>
                </c:pt>
                <c:pt idx="111">
                  <c:v>275.44468828006029</c:v>
                </c:pt>
                <c:pt idx="112">
                  <c:v>273.62353290718158</c:v>
                </c:pt>
                <c:pt idx="113">
                  <c:v>271.77367635746253</c:v>
                </c:pt>
                <c:pt idx="114">
                  <c:v>269.89452847812549</c:v>
                </c:pt>
                <c:pt idx="115">
                  <c:v>267.98547308640451</c:v>
                </c:pt>
                <c:pt idx="116">
                  <c:v>266.0458663644182</c:v>
                </c:pt>
                <c:pt idx="117">
                  <c:v>264.07503512293476</c:v>
                </c:pt>
                <c:pt idx="118">
                  <c:v>262.07227492067921</c:v>
                </c:pt>
                <c:pt idx="119">
                  <c:v>260.03684802419133</c:v>
                </c:pt>
                <c:pt idx="120">
                  <c:v>257.96798119136457</c:v>
                </c:pt>
                <c:pt idx="121">
                  <c:v>255.8648632596425</c:v>
                </c:pt>
                <c:pt idx="122">
                  <c:v>253.7266425173722</c:v>
                </c:pt>
                <c:pt idx="123">
                  <c:v>251.55242383395293</c:v>
                </c:pt>
                <c:pt idx="124">
                  <c:v>249.34126552111371</c:v>
                </c:pt>
                <c:pt idx="125">
                  <c:v>247.09217589381464</c:v>
                </c:pt>
                <c:pt idx="126">
                  <c:v>244.80410949480535</c:v>
                </c:pt>
                <c:pt idx="127">
                  <c:v>242.47596294165933</c:v>
                </c:pt>
                <c:pt idx="128">
                  <c:v>240.10657034900308</c:v>
                </c:pt>
                <c:pt idx="129">
                  <c:v>237.6946982714845</c:v>
                </c:pt>
                <c:pt idx="130">
                  <c:v>235.23904010456869</c:v>
                </c:pt>
                <c:pt idx="131">
                  <c:v>232.7382098702341</c:v>
                </c:pt>
                <c:pt idx="132">
                  <c:v>230.19073530274622</c:v>
                </c:pt>
                <c:pt idx="133">
                  <c:v>227.5950501354813</c:v>
                </c:pt>
                <c:pt idx="134">
                  <c:v>224.9494854727634</c:v>
                </c:pt>
                <c:pt idx="135">
                  <c:v>222.25226011018484</c:v>
                </c:pt>
                <c:pt idx="136">
                  <c:v>219.50146964210757</c:v>
                </c:pt>
                <c:pt idx="137">
                  <c:v>216.69507416492027</c:v>
                </c:pt>
                <c:pt idx="138">
                  <c:v>213.83088434782081</c:v>
                </c:pt>
                <c:pt idx="139">
                  <c:v>210.90654559765886</c:v>
                </c:pt>
                <c:pt idx="140">
                  <c:v>207.9195199884781</c:v>
                </c:pt>
                <c:pt idx="141">
                  <c:v>204.86706555685413</c:v>
                </c:pt>
                <c:pt idx="142">
                  <c:v>201.74621247708504</c:v>
                </c:pt>
                <c:pt idx="143">
                  <c:v>198.55373552053203</c:v>
                </c:pt>
                <c:pt idx="144">
                  <c:v>195.28612206401445</c:v>
                </c:pt>
                <c:pt idx="145">
                  <c:v>191.93953473367696</c:v>
                </c:pt>
                <c:pt idx="146">
                  <c:v>188.50976754029253</c:v>
                </c:pt>
                <c:pt idx="147">
                  <c:v>184.99219406165588</c:v>
                </c:pt>
                <c:pt idx="148">
                  <c:v>181.38170583256488</c:v>
                </c:pt>
                <c:pt idx="149">
                  <c:v>177.6726385773913</c:v>
                </c:pt>
                <c:pt idx="150">
                  <c:v>173.85868321343361</c:v>
                </c:pt>
                <c:pt idx="151">
                  <c:v>169.93277759073223</c:v>
                </c:pt>
                <c:pt idx="152">
                  <c:v>165.88697360561196</c:v>
                </c:pt>
                <c:pt idx="153">
                  <c:v>161.71227246468405</c:v>
                </c:pt>
                <c:pt idx="154">
                  <c:v>157.39841822804618</c:v>
                </c:pt>
                <c:pt idx="155">
                  <c:v>152.933635924296</c:v>
                </c:pt>
                <c:pt idx="156">
                  <c:v>148.30429486260627</c:v>
                </c:pt>
                <c:pt idx="157">
                  <c:v>143.49446920944396</c:v>
                </c:pt>
                <c:pt idx="158">
                  <c:v>138.48535465543173</c:v>
                </c:pt>
                <c:pt idx="159">
                  <c:v>133.2544789330434</c:v>
                </c:pt>
                <c:pt idx="160">
                  <c:v>127.77460936637074</c:v>
                </c:pt>
                <c:pt idx="161">
                  <c:v>122.01220177947685</c:v>
                </c:pt>
                <c:pt idx="162">
                  <c:v>115.92513061781951</c:v>
                </c:pt>
                <c:pt idx="163">
                  <c:v>109.45924527319137</c:v>
                </c:pt>
                <c:pt idx="164">
                  <c:v>102.54291191559935</c:v>
                </c:pt>
                <c:pt idx="165">
                  <c:v>95.077879308593808</c:v>
                </c:pt>
                <c:pt idx="166">
                  <c:v>86.922893560006472</c:v>
                </c:pt>
                <c:pt idx="167">
                  <c:v>77.861464520033067</c:v>
                </c:pt>
                <c:pt idx="168">
                  <c:v>67.529681110605324</c:v>
                </c:pt>
                <c:pt idx="169">
                  <c:v>55.219017973259788</c:v>
                </c:pt>
                <c:pt idx="170">
                  <c:v>39.103120109498526</c:v>
                </c:pt>
                <c:pt idx="171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Foglio2!$AC$4:$AC$175</c:f>
              <c:numCache>
                <c:formatCode>0.0</c:formatCode>
                <c:ptCount val="172"/>
                <c:pt idx="0">
                  <c:v>0</c:v>
                </c:pt>
                <c:pt idx="1">
                  <c:v>-4.7685296737477687</c:v>
                </c:pt>
                <c:pt idx="2">
                  <c:v>-9.5370593474955374</c:v>
                </c:pt>
                <c:pt idx="3">
                  <c:v>-14.305589021243307</c:v>
                </c:pt>
                <c:pt idx="4">
                  <c:v>-19.074118694991075</c:v>
                </c:pt>
                <c:pt idx="5">
                  <c:v>-23.842648368738846</c:v>
                </c:pt>
                <c:pt idx="6">
                  <c:v>-28.611178042486614</c:v>
                </c:pt>
                <c:pt idx="7">
                  <c:v>-33.379707716234385</c:v>
                </c:pt>
                <c:pt idx="8">
                  <c:v>-38.14823738998215</c:v>
                </c:pt>
                <c:pt idx="9">
                  <c:v>-42.916767063729921</c:v>
                </c:pt>
                <c:pt idx="10">
                  <c:v>-47.685296737477692</c:v>
                </c:pt>
                <c:pt idx="11">
                  <c:v>-52.453826411225457</c:v>
                </c:pt>
                <c:pt idx="12">
                  <c:v>-57.222356084973228</c:v>
                </c:pt>
                <c:pt idx="13">
                  <c:v>-61.990885758720999</c:v>
                </c:pt>
                <c:pt idx="14">
                  <c:v>-66.759415432468771</c:v>
                </c:pt>
                <c:pt idx="15">
                  <c:v>-71.527945106216535</c:v>
                </c:pt>
                <c:pt idx="16">
                  <c:v>-76.296474779964299</c:v>
                </c:pt>
                <c:pt idx="17">
                  <c:v>-81.065004453712078</c:v>
                </c:pt>
                <c:pt idx="18">
                  <c:v>-85.833534127459842</c:v>
                </c:pt>
                <c:pt idx="19">
                  <c:v>-90.602063801207606</c:v>
                </c:pt>
                <c:pt idx="20">
                  <c:v>-95.370593474955385</c:v>
                </c:pt>
                <c:pt idx="21">
                  <c:v>-100.13912314870315</c:v>
                </c:pt>
                <c:pt idx="22">
                  <c:v>-104.90765282245091</c:v>
                </c:pt>
                <c:pt idx="23">
                  <c:v>-109.67618249619869</c:v>
                </c:pt>
                <c:pt idx="24">
                  <c:v>-114.44471216994646</c:v>
                </c:pt>
                <c:pt idx="25">
                  <c:v>-119.21324184369422</c:v>
                </c:pt>
                <c:pt idx="26">
                  <c:v>-123.981771517442</c:v>
                </c:pt>
                <c:pt idx="27">
                  <c:v>-128.75030119118975</c:v>
                </c:pt>
                <c:pt idx="28">
                  <c:v>-133.51883086493754</c:v>
                </c:pt>
                <c:pt idx="29">
                  <c:v>-138.28736053868531</c:v>
                </c:pt>
                <c:pt idx="30">
                  <c:v>-143.05589021243307</c:v>
                </c:pt>
                <c:pt idx="31">
                  <c:v>-147.82441988618083</c:v>
                </c:pt>
                <c:pt idx="32">
                  <c:v>-152.5929495599286</c:v>
                </c:pt>
                <c:pt idx="33">
                  <c:v>-157.36147923367636</c:v>
                </c:pt>
                <c:pt idx="34">
                  <c:v>-162.13000890742416</c:v>
                </c:pt>
                <c:pt idx="35">
                  <c:v>-166.89853858117192</c:v>
                </c:pt>
                <c:pt idx="36">
                  <c:v>-171.66706825491968</c:v>
                </c:pt>
                <c:pt idx="37">
                  <c:v>-176.43559792866745</c:v>
                </c:pt>
                <c:pt idx="38">
                  <c:v>-181.20412760241521</c:v>
                </c:pt>
                <c:pt idx="39">
                  <c:v>-185.97265727616298</c:v>
                </c:pt>
                <c:pt idx="40">
                  <c:v>-190.74118694991077</c:v>
                </c:pt>
                <c:pt idx="41">
                  <c:v>-195.50971662365853</c:v>
                </c:pt>
                <c:pt idx="42">
                  <c:v>-200.2782462974063</c:v>
                </c:pt>
                <c:pt idx="43">
                  <c:v>-205.04677597115406</c:v>
                </c:pt>
                <c:pt idx="44">
                  <c:v>-209.81530564490183</c:v>
                </c:pt>
                <c:pt idx="45">
                  <c:v>-214.58383531864959</c:v>
                </c:pt>
                <c:pt idx="46">
                  <c:v>-219.35236499239738</c:v>
                </c:pt>
                <c:pt idx="47">
                  <c:v>-224.12089466614515</c:v>
                </c:pt>
                <c:pt idx="48">
                  <c:v>-228.88942433989291</c:v>
                </c:pt>
                <c:pt idx="49">
                  <c:v>-233.65795401364068</c:v>
                </c:pt>
                <c:pt idx="50">
                  <c:v>-238.42648368738844</c:v>
                </c:pt>
                <c:pt idx="51">
                  <c:v>-243.1950133611362</c:v>
                </c:pt>
                <c:pt idx="52">
                  <c:v>-247.963543034884</c:v>
                </c:pt>
                <c:pt idx="53">
                  <c:v>-252.73207270863176</c:v>
                </c:pt>
                <c:pt idx="54">
                  <c:v>-257.5006023823795</c:v>
                </c:pt>
                <c:pt idx="55">
                  <c:v>-262.26913205612732</c:v>
                </c:pt>
                <c:pt idx="56">
                  <c:v>-267.03766172987508</c:v>
                </c:pt>
                <c:pt idx="57">
                  <c:v>-271.80619140362285</c:v>
                </c:pt>
                <c:pt idx="58">
                  <c:v>-276.57472107737061</c:v>
                </c:pt>
                <c:pt idx="59">
                  <c:v>-281.34325075111838</c:v>
                </c:pt>
                <c:pt idx="60">
                  <c:v>-286.11178042486614</c:v>
                </c:pt>
                <c:pt idx="61">
                  <c:v>-290.8803100986139</c:v>
                </c:pt>
                <c:pt idx="62">
                  <c:v>-295.64883977236167</c:v>
                </c:pt>
                <c:pt idx="63">
                  <c:v>-300.41736944610943</c:v>
                </c:pt>
                <c:pt idx="64">
                  <c:v>-305.1858991198572</c:v>
                </c:pt>
                <c:pt idx="65">
                  <c:v>-309.95442879360496</c:v>
                </c:pt>
                <c:pt idx="66">
                  <c:v>-314.72295846735273</c:v>
                </c:pt>
                <c:pt idx="67">
                  <c:v>-319.49148814110055</c:v>
                </c:pt>
                <c:pt idx="68">
                  <c:v>-324.26001781484831</c:v>
                </c:pt>
                <c:pt idx="69">
                  <c:v>-329.02854748859608</c:v>
                </c:pt>
                <c:pt idx="70">
                  <c:v>-333.79707716234384</c:v>
                </c:pt>
                <c:pt idx="71">
                  <c:v>-338.5656068360916</c:v>
                </c:pt>
                <c:pt idx="72">
                  <c:v>-343.33413650983937</c:v>
                </c:pt>
                <c:pt idx="73">
                  <c:v>-348.10266618358713</c:v>
                </c:pt>
                <c:pt idx="74">
                  <c:v>-352.8711958573349</c:v>
                </c:pt>
                <c:pt idx="75">
                  <c:v>-357.63972553108266</c:v>
                </c:pt>
                <c:pt idx="76">
                  <c:v>-362.40825520483043</c:v>
                </c:pt>
                <c:pt idx="77">
                  <c:v>-367.17678487857819</c:v>
                </c:pt>
                <c:pt idx="78">
                  <c:v>-371.94531455232595</c:v>
                </c:pt>
                <c:pt idx="79">
                  <c:v>-376.71384422607377</c:v>
                </c:pt>
                <c:pt idx="80">
                  <c:v>-381.48237389982154</c:v>
                </c:pt>
                <c:pt idx="81">
                  <c:v>-386.2509035735693</c:v>
                </c:pt>
                <c:pt idx="82">
                  <c:v>-391.01943324731707</c:v>
                </c:pt>
                <c:pt idx="83">
                  <c:v>-395.78796292106483</c:v>
                </c:pt>
                <c:pt idx="84">
                  <c:v>-400.5564925948126</c:v>
                </c:pt>
                <c:pt idx="85">
                  <c:v>-405.32502226856036</c:v>
                </c:pt>
                <c:pt idx="86">
                  <c:v>-410.09355194230812</c:v>
                </c:pt>
                <c:pt idx="87">
                  <c:v>-414.86208161605595</c:v>
                </c:pt>
                <c:pt idx="88">
                  <c:v>-419.63061128980365</c:v>
                </c:pt>
                <c:pt idx="89">
                  <c:v>-424.39914096355147</c:v>
                </c:pt>
                <c:pt idx="90">
                  <c:v>-429.16767063729918</c:v>
                </c:pt>
                <c:pt idx="91">
                  <c:v>-433.936200311047</c:v>
                </c:pt>
                <c:pt idx="92">
                  <c:v>-438.70472998479477</c:v>
                </c:pt>
                <c:pt idx="93">
                  <c:v>-443.47325965854259</c:v>
                </c:pt>
                <c:pt idx="94">
                  <c:v>-448.2417893322903</c:v>
                </c:pt>
                <c:pt idx="95">
                  <c:v>-453.01031900603812</c:v>
                </c:pt>
                <c:pt idx="96">
                  <c:v>-457.77884867978582</c:v>
                </c:pt>
                <c:pt idx="97">
                  <c:v>-462.54737835353365</c:v>
                </c:pt>
                <c:pt idx="98">
                  <c:v>-467.31590802728135</c:v>
                </c:pt>
                <c:pt idx="99">
                  <c:v>-472.08443770102917</c:v>
                </c:pt>
                <c:pt idx="100">
                  <c:v>-476.85296737477688</c:v>
                </c:pt>
                <c:pt idx="101">
                  <c:v>-481.6214970485247</c:v>
                </c:pt>
                <c:pt idx="102">
                  <c:v>-486.39002672227241</c:v>
                </c:pt>
                <c:pt idx="103">
                  <c:v>-491.15855639602023</c:v>
                </c:pt>
                <c:pt idx="104">
                  <c:v>-495.927086069768</c:v>
                </c:pt>
                <c:pt idx="105">
                  <c:v>-500.69561574351582</c:v>
                </c:pt>
                <c:pt idx="106">
                  <c:v>-505.46414541726352</c:v>
                </c:pt>
                <c:pt idx="107">
                  <c:v>-510.23267509101134</c:v>
                </c:pt>
                <c:pt idx="108">
                  <c:v>-515.001204764759</c:v>
                </c:pt>
                <c:pt idx="109">
                  <c:v>-519.76973443850682</c:v>
                </c:pt>
                <c:pt idx="110">
                  <c:v>-524.53826411225464</c:v>
                </c:pt>
                <c:pt idx="111">
                  <c:v>-529.30679378600246</c:v>
                </c:pt>
                <c:pt idx="112">
                  <c:v>-534.07532345975017</c:v>
                </c:pt>
                <c:pt idx="113">
                  <c:v>-538.84385313349799</c:v>
                </c:pt>
                <c:pt idx="114">
                  <c:v>-543.61238280724569</c:v>
                </c:pt>
                <c:pt idx="115">
                  <c:v>-548.38091248099352</c:v>
                </c:pt>
                <c:pt idx="116">
                  <c:v>-553.14944215474122</c:v>
                </c:pt>
                <c:pt idx="117">
                  <c:v>-557.91797182848904</c:v>
                </c:pt>
                <c:pt idx="118">
                  <c:v>-562.68650150223675</c:v>
                </c:pt>
                <c:pt idx="119">
                  <c:v>-567.45503117598457</c:v>
                </c:pt>
                <c:pt idx="120">
                  <c:v>-572.22356084973228</c:v>
                </c:pt>
                <c:pt idx="121">
                  <c:v>-576.9920905234801</c:v>
                </c:pt>
                <c:pt idx="122">
                  <c:v>-581.76062019722781</c:v>
                </c:pt>
                <c:pt idx="123">
                  <c:v>-586.52914987097563</c:v>
                </c:pt>
                <c:pt idx="124">
                  <c:v>-591.29767954472334</c:v>
                </c:pt>
                <c:pt idx="125">
                  <c:v>-596.06620921847116</c:v>
                </c:pt>
                <c:pt idx="126">
                  <c:v>-600.83473889221887</c:v>
                </c:pt>
                <c:pt idx="127">
                  <c:v>-605.60326856596669</c:v>
                </c:pt>
                <c:pt idx="128">
                  <c:v>-610.37179823971439</c:v>
                </c:pt>
                <c:pt idx="129">
                  <c:v>-615.14032791346222</c:v>
                </c:pt>
                <c:pt idx="130">
                  <c:v>-619.90885758720992</c:v>
                </c:pt>
                <c:pt idx="131">
                  <c:v>-624.67738726095774</c:v>
                </c:pt>
                <c:pt idx="132">
                  <c:v>-629.44591693470545</c:v>
                </c:pt>
                <c:pt idx="133">
                  <c:v>-634.21444660845327</c:v>
                </c:pt>
                <c:pt idx="134">
                  <c:v>-638.98297628220109</c:v>
                </c:pt>
                <c:pt idx="135">
                  <c:v>-643.75150595594891</c:v>
                </c:pt>
                <c:pt idx="136">
                  <c:v>-648.52003562969662</c:v>
                </c:pt>
                <c:pt idx="137">
                  <c:v>-653.28856530344444</c:v>
                </c:pt>
                <c:pt idx="138">
                  <c:v>-658.05709497719215</c:v>
                </c:pt>
                <c:pt idx="139">
                  <c:v>-662.82562465093997</c:v>
                </c:pt>
                <c:pt idx="140">
                  <c:v>-667.59415432468768</c:v>
                </c:pt>
                <c:pt idx="141">
                  <c:v>-672.3626839984355</c:v>
                </c:pt>
                <c:pt idx="142">
                  <c:v>-677.13121367218321</c:v>
                </c:pt>
                <c:pt idx="143">
                  <c:v>-681.89974334593103</c:v>
                </c:pt>
                <c:pt idx="144">
                  <c:v>-686.66827301967874</c:v>
                </c:pt>
                <c:pt idx="145">
                  <c:v>-691.43680269342656</c:v>
                </c:pt>
                <c:pt idx="146">
                  <c:v>-696.20533236717426</c:v>
                </c:pt>
                <c:pt idx="147">
                  <c:v>-700.97386204092209</c:v>
                </c:pt>
                <c:pt idx="148">
                  <c:v>-705.74239171466979</c:v>
                </c:pt>
                <c:pt idx="149">
                  <c:v>-710.51092138841761</c:v>
                </c:pt>
                <c:pt idx="150">
                  <c:v>-715.27945106216532</c:v>
                </c:pt>
                <c:pt idx="151">
                  <c:v>-720.04798073591314</c:v>
                </c:pt>
                <c:pt idx="152">
                  <c:v>-724.81651040966085</c:v>
                </c:pt>
                <c:pt idx="153">
                  <c:v>-729.58504008340867</c:v>
                </c:pt>
                <c:pt idx="154">
                  <c:v>-734.35356975715638</c:v>
                </c:pt>
                <c:pt idx="155">
                  <c:v>-739.1220994309042</c:v>
                </c:pt>
                <c:pt idx="156">
                  <c:v>-743.89062910465191</c:v>
                </c:pt>
                <c:pt idx="157">
                  <c:v>-748.65915877839973</c:v>
                </c:pt>
                <c:pt idx="158">
                  <c:v>-753.42768845214755</c:v>
                </c:pt>
                <c:pt idx="159">
                  <c:v>-758.19621812589537</c:v>
                </c:pt>
                <c:pt idx="160">
                  <c:v>-762.96474779964308</c:v>
                </c:pt>
                <c:pt idx="161">
                  <c:v>-767.7332774733909</c:v>
                </c:pt>
                <c:pt idx="162">
                  <c:v>-772.50180714713861</c:v>
                </c:pt>
                <c:pt idx="163">
                  <c:v>-777.27033682088643</c:v>
                </c:pt>
                <c:pt idx="164">
                  <c:v>-782.03886649463414</c:v>
                </c:pt>
                <c:pt idx="165">
                  <c:v>-786.80739616838196</c:v>
                </c:pt>
                <c:pt idx="166">
                  <c:v>-791.57592584212966</c:v>
                </c:pt>
                <c:pt idx="167">
                  <c:v>-796.34445551587748</c:v>
                </c:pt>
                <c:pt idx="168">
                  <c:v>-801.11298518962519</c:v>
                </c:pt>
                <c:pt idx="169">
                  <c:v>-805.88151486337301</c:v>
                </c:pt>
                <c:pt idx="170">
                  <c:v>-810.65004453712072</c:v>
                </c:pt>
                <c:pt idx="171">
                  <c:v>-815.41857421086854</c:v>
                </c:pt>
              </c:numCache>
            </c:numRef>
          </c:xVal>
          <c:yVal>
            <c:numRef>
              <c:f>Foglio2!$AD$4:$AD$175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-362.09531573197847</c:v>
                </c:pt>
                <c:pt idx="2">
                  <c:v>-362.07673991440601</c:v>
                </c:pt>
                <c:pt idx="3">
                  <c:v>-362.04577810048158</c:v>
                </c:pt>
                <c:pt idx="4">
                  <c:v>-362.00242711210842</c:v>
                </c:pt>
                <c:pt idx="5">
                  <c:v>-361.94668249766721</c:v>
                </c:pt>
                <c:pt idx="6">
                  <c:v>-361.8785385297287</c:v>
                </c:pt>
                <c:pt idx="7">
                  <c:v>-361.79798820210857</c:v>
                </c:pt>
                <c:pt idx="8">
                  <c:v>-361.70502322626004</c:v>
                </c:pt>
                <c:pt idx="9">
                  <c:v>-361.59963402700095</c:v>
                </c:pt>
                <c:pt idx="10">
                  <c:v>-361.48180973756928</c:v>
                </c:pt>
                <c:pt idx="11">
                  <c:v>-361.35153819400153</c:v>
                </c:pt>
                <c:pt idx="12">
                  <c:v>-361.20880592882725</c:v>
                </c:pt>
                <c:pt idx="13">
                  <c:v>-361.05359816407156</c:v>
                </c:pt>
                <c:pt idx="14">
                  <c:v>-360.88589880355823</c:v>
                </c:pt>
                <c:pt idx="15">
                  <c:v>-360.70569042450211</c:v>
                </c:pt>
                <c:pt idx="16">
                  <c:v>-360.51295426838266</c:v>
                </c:pt>
                <c:pt idx="17">
                  <c:v>-360.30767023108552</c:v>
                </c:pt>
                <c:pt idx="18">
                  <c:v>-360.08981685230123</c:v>
                </c:pt>
                <c:pt idx="19">
                  <c:v>-359.85937130416727</c:v>
                </c:pt>
                <c:pt idx="20">
                  <c:v>-359.61630937913918</c:v>
                </c:pt>
                <c:pt idx="21">
                  <c:v>-359.36060547707564</c:v>
                </c:pt>
                <c:pt idx="22">
                  <c:v>-359.09223259152174</c:v>
                </c:pt>
                <c:pt idx="23">
                  <c:v>-358.81116229517198</c:v>
                </c:pt>
                <c:pt idx="24">
                  <c:v>-358.51736472449477</c:v>
                </c:pt>
                <c:pt idx="25">
                  <c:v>-358.21080856349948</c:v>
                </c:pt>
                <c:pt idx="26">
                  <c:v>-357.89146102662363</c:v>
                </c:pt>
                <c:pt idx="27">
                  <c:v>-357.55928784071864</c:v>
                </c:pt>
                <c:pt idx="28">
                  <c:v>-357.21425322611088</c:v>
                </c:pt>
                <c:pt idx="29">
                  <c:v>-356.85631987671132</c:v>
                </c:pt>
                <c:pt idx="30">
                  <c:v>-356.48544893914936</c:v>
                </c:pt>
                <c:pt idx="31">
                  <c:v>-356.10159999090075</c:v>
                </c:pt>
                <c:pt idx="32">
                  <c:v>-355.70473101738139</c:v>
                </c:pt>
                <c:pt idx="33">
                  <c:v>-355.29479838797425</c:v>
                </c:pt>
                <c:pt idx="34">
                  <c:v>-354.87175683095774</c:v>
                </c:pt>
                <c:pt idx="35">
                  <c:v>-354.43555940729908</c:v>
                </c:pt>
                <c:pt idx="36">
                  <c:v>-353.98615748327666</c:v>
                </c:pt>
                <c:pt idx="37">
                  <c:v>-353.5235007018922</c:v>
                </c:pt>
                <c:pt idx="38">
                  <c:v>-353.04753695303117</c:v>
                </c:pt>
                <c:pt idx="39">
                  <c:v>-352.55821234232866</c:v>
                </c:pt>
                <c:pt idx="40">
                  <c:v>-352.05547115869484</c:v>
                </c:pt>
                <c:pt idx="41">
                  <c:v>-351.53925584045123</c:v>
                </c:pt>
                <c:pt idx="42">
                  <c:v>-351.00950694002768</c:v>
                </c:pt>
                <c:pt idx="43">
                  <c:v>-350.46616308716585</c:v>
                </c:pt>
                <c:pt idx="44">
                  <c:v>-349.90916095057304</c:v>
                </c:pt>
                <c:pt idx="45">
                  <c:v>-349.33843519796619</c:v>
                </c:pt>
                <c:pt idx="46">
                  <c:v>-348.75391845444364</c:v>
                </c:pt>
                <c:pt idx="47">
                  <c:v>-348.15554125911785</c:v>
                </c:pt>
                <c:pt idx="48">
                  <c:v>-347.54323201993935</c:v>
                </c:pt>
                <c:pt idx="49">
                  <c:v>-346.91691696663764</c:v>
                </c:pt>
                <c:pt idx="50">
                  <c:v>-346.27652010170146</c:v>
                </c:pt>
                <c:pt idx="51">
                  <c:v>-345.62196314931521</c:v>
                </c:pt>
                <c:pt idx="52">
                  <c:v>-344.95316550216592</c:v>
                </c:pt>
                <c:pt idx="53">
                  <c:v>-344.27004416602711</c:v>
                </c:pt>
                <c:pt idx="54">
                  <c:v>-343.5725137020238</c:v>
                </c:pt>
                <c:pt idx="55">
                  <c:v>-342.86048616647543</c:v>
                </c:pt>
                <c:pt idx="56">
                  <c:v>-342.13387104820816</c:v>
                </c:pt>
                <c:pt idx="57">
                  <c:v>-341.39257520322184</c:v>
                </c:pt>
                <c:pt idx="58">
                  <c:v>-340.63650278658997</c:v>
                </c:pt>
                <c:pt idx="59">
                  <c:v>-339.86555518146452</c:v>
                </c:pt>
                <c:pt idx="60">
                  <c:v>-339.07963092504855</c:v>
                </c:pt>
                <c:pt idx="61">
                  <c:v>-338.27862563139377</c:v>
                </c:pt>
                <c:pt idx="62">
                  <c:v>-337.4624319108687</c:v>
                </c:pt>
                <c:pt idx="63">
                  <c:v>-336.63093928613608</c:v>
                </c:pt>
                <c:pt idx="64">
                  <c:v>-335.78403410446759</c:v>
                </c:pt>
                <c:pt idx="65">
                  <c:v>-334.92159944621335</c:v>
                </c:pt>
                <c:pt idx="66">
                  <c:v>-334.04351502923208</c:v>
                </c:pt>
                <c:pt idx="67">
                  <c:v>-333.1496571090766</c:v>
                </c:pt>
                <c:pt idx="68">
                  <c:v>-332.23989837471561</c:v>
                </c:pt>
                <c:pt idx="69">
                  <c:v>-331.31410783955886</c:v>
                </c:pt>
                <c:pt idx="70">
                  <c:v>-330.37215072753918</c:v>
                </c:pt>
                <c:pt idx="71">
                  <c:v>-329.41388835398601</c:v>
                </c:pt>
                <c:pt idx="72">
                  <c:v>-328.4391780010119</c:v>
                </c:pt>
                <c:pt idx="73">
                  <c:v>-327.44787278711073</c:v>
                </c:pt>
                <c:pt idx="74">
                  <c:v>-326.43982153065036</c:v>
                </c:pt>
                <c:pt idx="75">
                  <c:v>-325.41486860691742</c:v>
                </c:pt>
                <c:pt idx="76">
                  <c:v>-324.37285379835242</c:v>
                </c:pt>
                <c:pt idx="77">
                  <c:v>-323.3136121375851</c:v>
                </c:pt>
                <c:pt idx="78">
                  <c:v>-322.23697374285558</c:v>
                </c:pt>
                <c:pt idx="79">
                  <c:v>-321.14276364537665</c:v>
                </c:pt>
                <c:pt idx="80">
                  <c:v>-320.0308016081612</c:v>
                </c:pt>
                <c:pt idx="81">
                  <c:v>-318.90090193580465</c:v>
                </c:pt>
                <c:pt idx="82">
                  <c:v>-317.75287327467657</c:v>
                </c:pt>
                <c:pt idx="83">
                  <c:v>-316.58651840293379</c:v>
                </c:pt>
                <c:pt idx="84">
                  <c:v>-315.40163400972591</c:v>
                </c:pt>
                <c:pt idx="85">
                  <c:v>-314.19801046291582</c:v>
                </c:pt>
                <c:pt idx="86">
                  <c:v>-312.97543156458704</c:v>
                </c:pt>
                <c:pt idx="87">
                  <c:v>-311.73367429355454</c:v>
                </c:pt>
                <c:pt idx="88">
                  <c:v>-310.47250853403409</c:v>
                </c:pt>
                <c:pt idx="89">
                  <c:v>-309.19169678956013</c:v>
                </c:pt>
                <c:pt idx="90">
                  <c:v>-307.89099388116932</c:v>
                </c:pt>
                <c:pt idx="91">
                  <c:v>-306.57014662878817</c:v>
                </c:pt>
                <c:pt idx="92">
                  <c:v>-305.22889351467796</c:v>
                </c:pt>
                <c:pt idx="93">
                  <c:v>-303.86696432769395</c:v>
                </c:pt>
                <c:pt idx="94">
                  <c:v>-302.48407978701454</c:v>
                </c:pt>
                <c:pt idx="95">
                  <c:v>-301.07995114388035</c:v>
                </c:pt>
                <c:pt idx="96">
                  <c:v>-299.65427975976132</c:v>
                </c:pt>
                <c:pt idx="97">
                  <c:v>-298.20675665922914</c:v>
                </c:pt>
                <c:pt idx="98">
                  <c:v>-296.73706205566509</c:v>
                </c:pt>
                <c:pt idx="99">
                  <c:v>-295.24486484776332</c:v>
                </c:pt>
                <c:pt idx="100">
                  <c:v>-293.72982208460877</c:v>
                </c:pt>
                <c:pt idx="101">
                  <c:v>-292.19157839690268</c:v>
                </c:pt>
                <c:pt idx="102">
                  <c:v>-290.62976539168562</c:v>
                </c:pt>
                <c:pt idx="103">
                  <c:v>-289.0440010076573</c:v>
                </c:pt>
                <c:pt idx="104">
                  <c:v>-287.4338888279155</c:v>
                </c:pt>
                <c:pt idx="105">
                  <c:v>-285.79901734662747</c:v>
                </c:pt>
                <c:pt idx="106">
                  <c:v>-284.13895918580533</c:v>
                </c:pt>
                <c:pt idx="107">
                  <c:v>-282.45327025797229</c:v>
                </c:pt>
                <c:pt idx="108">
                  <c:v>-280.74148887007965</c:v>
                </c:pt>
                <c:pt idx="109">
                  <c:v>-279.00313476355495</c:v>
                </c:pt>
                <c:pt idx="110">
                  <c:v>-277.23770808482607</c:v>
                </c:pt>
                <c:pt idx="111">
                  <c:v>-275.44468828006029</c:v>
                </c:pt>
                <c:pt idx="112">
                  <c:v>-273.62353290718158</c:v>
                </c:pt>
                <c:pt idx="113">
                  <c:v>-271.77367635746253</c:v>
                </c:pt>
                <c:pt idx="114">
                  <c:v>-269.89452847812549</c:v>
                </c:pt>
                <c:pt idx="115">
                  <c:v>-267.98547308640451</c:v>
                </c:pt>
                <c:pt idx="116">
                  <c:v>-266.0458663644182</c:v>
                </c:pt>
                <c:pt idx="117">
                  <c:v>-264.07503512293476</c:v>
                </c:pt>
                <c:pt idx="118">
                  <c:v>-262.07227492067921</c:v>
                </c:pt>
                <c:pt idx="119">
                  <c:v>-260.03684802419133</c:v>
                </c:pt>
                <c:pt idx="120">
                  <c:v>-257.96798119136457</c:v>
                </c:pt>
                <c:pt idx="121">
                  <c:v>-255.8648632596425</c:v>
                </c:pt>
                <c:pt idx="122">
                  <c:v>-253.7266425173722</c:v>
                </c:pt>
                <c:pt idx="123">
                  <c:v>-251.55242383395293</c:v>
                </c:pt>
                <c:pt idx="124">
                  <c:v>-249.34126552111371</c:v>
                </c:pt>
                <c:pt idx="125">
                  <c:v>-247.09217589381464</c:v>
                </c:pt>
                <c:pt idx="126">
                  <c:v>-244.80410949480535</c:v>
                </c:pt>
                <c:pt idx="127">
                  <c:v>-242.47596294165933</c:v>
                </c:pt>
                <c:pt idx="128">
                  <c:v>-240.10657034900308</c:v>
                </c:pt>
                <c:pt idx="129">
                  <c:v>-237.6946982714845</c:v>
                </c:pt>
                <c:pt idx="130">
                  <c:v>-235.23904010456869</c:v>
                </c:pt>
                <c:pt idx="131">
                  <c:v>-232.7382098702341</c:v>
                </c:pt>
                <c:pt idx="132">
                  <c:v>-230.19073530274622</c:v>
                </c:pt>
                <c:pt idx="133">
                  <c:v>-227.5950501354813</c:v>
                </c:pt>
                <c:pt idx="134">
                  <c:v>-224.9494854727634</c:v>
                </c:pt>
                <c:pt idx="135">
                  <c:v>-222.25226011018484</c:v>
                </c:pt>
                <c:pt idx="136">
                  <c:v>-219.50146964210757</c:v>
                </c:pt>
                <c:pt idx="137">
                  <c:v>-216.69507416492027</c:v>
                </c:pt>
                <c:pt idx="138">
                  <c:v>-213.83088434782081</c:v>
                </c:pt>
                <c:pt idx="139">
                  <c:v>-210.90654559765886</c:v>
                </c:pt>
                <c:pt idx="140">
                  <c:v>-207.9195199884781</c:v>
                </c:pt>
                <c:pt idx="141">
                  <c:v>-204.86706555685413</c:v>
                </c:pt>
                <c:pt idx="142">
                  <c:v>-201.74621247708504</c:v>
                </c:pt>
                <c:pt idx="143">
                  <c:v>-198.55373552053203</c:v>
                </c:pt>
                <c:pt idx="144">
                  <c:v>-195.28612206401445</c:v>
                </c:pt>
                <c:pt idx="145">
                  <c:v>-191.93953473367696</c:v>
                </c:pt>
                <c:pt idx="146">
                  <c:v>-188.50976754029253</c:v>
                </c:pt>
                <c:pt idx="147">
                  <c:v>-184.99219406165588</c:v>
                </c:pt>
                <c:pt idx="148">
                  <c:v>-181.38170583256488</c:v>
                </c:pt>
                <c:pt idx="149">
                  <c:v>-177.6726385773913</c:v>
                </c:pt>
                <c:pt idx="150">
                  <c:v>-173.85868321343361</c:v>
                </c:pt>
                <c:pt idx="151">
                  <c:v>-169.93277759073223</c:v>
                </c:pt>
                <c:pt idx="152">
                  <c:v>-165.88697360561196</c:v>
                </c:pt>
                <c:pt idx="153">
                  <c:v>-161.71227246468405</c:v>
                </c:pt>
                <c:pt idx="154">
                  <c:v>-157.39841822804618</c:v>
                </c:pt>
                <c:pt idx="155">
                  <c:v>-152.933635924296</c:v>
                </c:pt>
                <c:pt idx="156">
                  <c:v>-148.30429486260627</c:v>
                </c:pt>
                <c:pt idx="157">
                  <c:v>-143.49446920944396</c:v>
                </c:pt>
                <c:pt idx="158">
                  <c:v>-138.48535465543173</c:v>
                </c:pt>
                <c:pt idx="159">
                  <c:v>-133.2544789330434</c:v>
                </c:pt>
                <c:pt idx="160">
                  <c:v>-127.77460936637074</c:v>
                </c:pt>
                <c:pt idx="161">
                  <c:v>-122.01220177947685</c:v>
                </c:pt>
                <c:pt idx="162">
                  <c:v>-115.92513061781951</c:v>
                </c:pt>
                <c:pt idx="163">
                  <c:v>-109.45924527319137</c:v>
                </c:pt>
                <c:pt idx="164">
                  <c:v>-102.54291191559935</c:v>
                </c:pt>
                <c:pt idx="165">
                  <c:v>-95.077879308593808</c:v>
                </c:pt>
                <c:pt idx="166">
                  <c:v>-86.922893560006472</c:v>
                </c:pt>
                <c:pt idx="167">
                  <c:v>-77.861464520033067</c:v>
                </c:pt>
                <c:pt idx="168">
                  <c:v>-67.529681110605324</c:v>
                </c:pt>
                <c:pt idx="169">
                  <c:v>-55.219017973259788</c:v>
                </c:pt>
                <c:pt idx="170">
                  <c:v>-39.103120109498526</c:v>
                </c:pt>
                <c:pt idx="17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Dominio reale</c:v>
          </c:tx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Foglio2!$AE$4:$AE$175</c:f>
              <c:numCache>
                <c:formatCode>0.0</c:formatCode>
                <c:ptCount val="172"/>
                <c:pt idx="0">
                  <c:v>0</c:v>
                </c:pt>
                <c:pt idx="1">
                  <c:v>4.7685296737477687</c:v>
                </c:pt>
                <c:pt idx="2">
                  <c:v>9.5370593474955374</c:v>
                </c:pt>
                <c:pt idx="3">
                  <c:v>14.305589021243307</c:v>
                </c:pt>
                <c:pt idx="4">
                  <c:v>19.074118694991075</c:v>
                </c:pt>
                <c:pt idx="5">
                  <c:v>23.842648368738846</c:v>
                </c:pt>
                <c:pt idx="6">
                  <c:v>28.611178042486614</c:v>
                </c:pt>
                <c:pt idx="7">
                  <c:v>33.379707716234385</c:v>
                </c:pt>
                <c:pt idx="8">
                  <c:v>38.14823738998215</c:v>
                </c:pt>
                <c:pt idx="9">
                  <c:v>42.916767063729921</c:v>
                </c:pt>
                <c:pt idx="10">
                  <c:v>47.685296737477692</c:v>
                </c:pt>
                <c:pt idx="11">
                  <c:v>52.453826411225457</c:v>
                </c:pt>
                <c:pt idx="12">
                  <c:v>57.222356084973228</c:v>
                </c:pt>
                <c:pt idx="13">
                  <c:v>61.990885758720999</c:v>
                </c:pt>
                <c:pt idx="14">
                  <c:v>66.759415432468771</c:v>
                </c:pt>
                <c:pt idx="15">
                  <c:v>71.527945106216535</c:v>
                </c:pt>
                <c:pt idx="16">
                  <c:v>76.296474779964299</c:v>
                </c:pt>
                <c:pt idx="17">
                  <c:v>81.065004453712078</c:v>
                </c:pt>
                <c:pt idx="18">
                  <c:v>85.833534127459842</c:v>
                </c:pt>
                <c:pt idx="19">
                  <c:v>90.602063801207606</c:v>
                </c:pt>
                <c:pt idx="20">
                  <c:v>95.370593474955385</c:v>
                </c:pt>
                <c:pt idx="21">
                  <c:v>100.13912314870315</c:v>
                </c:pt>
                <c:pt idx="22">
                  <c:v>104.90765282245091</c:v>
                </c:pt>
                <c:pt idx="23">
                  <c:v>109.67618249619869</c:v>
                </c:pt>
                <c:pt idx="24">
                  <c:v>114.44471216994646</c:v>
                </c:pt>
                <c:pt idx="25">
                  <c:v>119.21324184369422</c:v>
                </c:pt>
                <c:pt idx="26">
                  <c:v>123.981771517442</c:v>
                </c:pt>
                <c:pt idx="27">
                  <c:v>128.75030119118975</c:v>
                </c:pt>
                <c:pt idx="28">
                  <c:v>133.51883086493754</c:v>
                </c:pt>
                <c:pt idx="29">
                  <c:v>138.28736053868531</c:v>
                </c:pt>
                <c:pt idx="30">
                  <c:v>143.05589021243307</c:v>
                </c:pt>
                <c:pt idx="31">
                  <c:v>147.82441988618083</c:v>
                </c:pt>
                <c:pt idx="32">
                  <c:v>152.5929495599286</c:v>
                </c:pt>
                <c:pt idx="33">
                  <c:v>157.36147923367636</c:v>
                </c:pt>
                <c:pt idx="34">
                  <c:v>162.13000890742416</c:v>
                </c:pt>
                <c:pt idx="35">
                  <c:v>166.89853858117192</c:v>
                </c:pt>
                <c:pt idx="36">
                  <c:v>171.66706825491968</c:v>
                </c:pt>
                <c:pt idx="37">
                  <c:v>176.43559792866745</c:v>
                </c:pt>
                <c:pt idx="38">
                  <c:v>181.20412760241521</c:v>
                </c:pt>
                <c:pt idx="39">
                  <c:v>185.97265727616298</c:v>
                </c:pt>
                <c:pt idx="40">
                  <c:v>190.74118694991077</c:v>
                </c:pt>
                <c:pt idx="41">
                  <c:v>195.50971662365853</c:v>
                </c:pt>
                <c:pt idx="42">
                  <c:v>200.2782462974063</c:v>
                </c:pt>
                <c:pt idx="43">
                  <c:v>205.04677597115406</c:v>
                </c:pt>
                <c:pt idx="44">
                  <c:v>209.81530564490183</c:v>
                </c:pt>
                <c:pt idx="45">
                  <c:v>214.58383531864959</c:v>
                </c:pt>
                <c:pt idx="46">
                  <c:v>219.35236499239738</c:v>
                </c:pt>
                <c:pt idx="47">
                  <c:v>224.12089466614515</c:v>
                </c:pt>
                <c:pt idx="48">
                  <c:v>228.88942433989291</c:v>
                </c:pt>
                <c:pt idx="49">
                  <c:v>233.65795401364068</c:v>
                </c:pt>
                <c:pt idx="50">
                  <c:v>238.42648368738844</c:v>
                </c:pt>
                <c:pt idx="51">
                  <c:v>243.1950133611362</c:v>
                </c:pt>
                <c:pt idx="52">
                  <c:v>247.963543034884</c:v>
                </c:pt>
                <c:pt idx="53">
                  <c:v>252.73207270863176</c:v>
                </c:pt>
                <c:pt idx="54">
                  <c:v>257.5006023823795</c:v>
                </c:pt>
                <c:pt idx="55">
                  <c:v>262.26913205612732</c:v>
                </c:pt>
                <c:pt idx="56">
                  <c:v>267.03766172987508</c:v>
                </c:pt>
                <c:pt idx="57">
                  <c:v>271.80619140362285</c:v>
                </c:pt>
                <c:pt idx="58">
                  <c:v>276.57472107737061</c:v>
                </c:pt>
                <c:pt idx="59">
                  <c:v>281.34325075111838</c:v>
                </c:pt>
                <c:pt idx="60">
                  <c:v>286.11178042486614</c:v>
                </c:pt>
                <c:pt idx="61">
                  <c:v>290.8803100986139</c:v>
                </c:pt>
                <c:pt idx="62">
                  <c:v>295.64883977236167</c:v>
                </c:pt>
                <c:pt idx="63">
                  <c:v>300.41736944610943</c:v>
                </c:pt>
                <c:pt idx="64">
                  <c:v>305.1858991198572</c:v>
                </c:pt>
                <c:pt idx="65">
                  <c:v>309.95442879360496</c:v>
                </c:pt>
                <c:pt idx="66">
                  <c:v>314.72295846735273</c:v>
                </c:pt>
                <c:pt idx="67">
                  <c:v>319.49148814110055</c:v>
                </c:pt>
                <c:pt idx="68">
                  <c:v>324.26001781484831</c:v>
                </c:pt>
                <c:pt idx="69">
                  <c:v>329.02854748859608</c:v>
                </c:pt>
                <c:pt idx="70">
                  <c:v>333.79707716234384</c:v>
                </c:pt>
                <c:pt idx="71">
                  <c:v>338.5656068360916</c:v>
                </c:pt>
                <c:pt idx="72">
                  <c:v>343.33413650983937</c:v>
                </c:pt>
                <c:pt idx="73">
                  <c:v>348.10266618358713</c:v>
                </c:pt>
                <c:pt idx="74">
                  <c:v>352.8711958573349</c:v>
                </c:pt>
                <c:pt idx="75">
                  <c:v>357.63972553108266</c:v>
                </c:pt>
                <c:pt idx="76">
                  <c:v>362.40825520483043</c:v>
                </c:pt>
                <c:pt idx="77">
                  <c:v>367.17678487857819</c:v>
                </c:pt>
                <c:pt idx="78">
                  <c:v>371.94531455232595</c:v>
                </c:pt>
                <c:pt idx="79">
                  <c:v>376.71384422607377</c:v>
                </c:pt>
                <c:pt idx="80">
                  <c:v>381.48237389982154</c:v>
                </c:pt>
                <c:pt idx="81">
                  <c:v>386.2509035735693</c:v>
                </c:pt>
                <c:pt idx="82">
                  <c:v>391.01943324731707</c:v>
                </c:pt>
                <c:pt idx="83">
                  <c:v>395.78796292106483</c:v>
                </c:pt>
                <c:pt idx="84">
                  <c:v>400.5564925948126</c:v>
                </c:pt>
                <c:pt idx="85">
                  <c:v>405.32502226856036</c:v>
                </c:pt>
                <c:pt idx="86">
                  <c:v>410.09355194230812</c:v>
                </c:pt>
                <c:pt idx="87">
                  <c:v>414.86208161605595</c:v>
                </c:pt>
                <c:pt idx="88">
                  <c:v>419.63061128980365</c:v>
                </c:pt>
                <c:pt idx="89">
                  <c:v>424.39914096355147</c:v>
                </c:pt>
                <c:pt idx="90">
                  <c:v>429.16767063729918</c:v>
                </c:pt>
                <c:pt idx="91">
                  <c:v>433.936200311047</c:v>
                </c:pt>
                <c:pt idx="92">
                  <c:v>438.70472998479477</c:v>
                </c:pt>
                <c:pt idx="93">
                  <c:v>443.47325965854259</c:v>
                </c:pt>
                <c:pt idx="94">
                  <c:v>448.2417893322903</c:v>
                </c:pt>
                <c:pt idx="95">
                  <c:v>453.01031900603812</c:v>
                </c:pt>
                <c:pt idx="96">
                  <c:v>457.77884867978582</c:v>
                </c:pt>
                <c:pt idx="97">
                  <c:v>462.54737835353365</c:v>
                </c:pt>
                <c:pt idx="98">
                  <c:v>467.31590802728135</c:v>
                </c:pt>
                <c:pt idx="99">
                  <c:v>472.08443770102917</c:v>
                </c:pt>
                <c:pt idx="100">
                  <c:v>476.85296737477688</c:v>
                </c:pt>
                <c:pt idx="101">
                  <c:v>481.6214970485247</c:v>
                </c:pt>
                <c:pt idx="102">
                  <c:v>486.39002672227241</c:v>
                </c:pt>
                <c:pt idx="103">
                  <c:v>491.15855639602023</c:v>
                </c:pt>
                <c:pt idx="104">
                  <c:v>495.927086069768</c:v>
                </c:pt>
                <c:pt idx="105">
                  <c:v>500.69561574351582</c:v>
                </c:pt>
                <c:pt idx="106">
                  <c:v>505.46414541726352</c:v>
                </c:pt>
                <c:pt idx="107">
                  <c:v>510.23267509101134</c:v>
                </c:pt>
                <c:pt idx="108">
                  <c:v>515.001204764759</c:v>
                </c:pt>
                <c:pt idx="109">
                  <c:v>519.76973443850682</c:v>
                </c:pt>
                <c:pt idx="110">
                  <c:v>524.53826411225464</c:v>
                </c:pt>
                <c:pt idx="111">
                  <c:v>529.30679378600246</c:v>
                </c:pt>
                <c:pt idx="112">
                  <c:v>534.07532345975017</c:v>
                </c:pt>
                <c:pt idx="113">
                  <c:v>538.84385313349799</c:v>
                </c:pt>
                <c:pt idx="114">
                  <c:v>543.61238280724569</c:v>
                </c:pt>
                <c:pt idx="115">
                  <c:v>548.38091248099352</c:v>
                </c:pt>
                <c:pt idx="116">
                  <c:v>553.14944215474122</c:v>
                </c:pt>
                <c:pt idx="117">
                  <c:v>557.91797182848904</c:v>
                </c:pt>
                <c:pt idx="118">
                  <c:v>562.68650150223675</c:v>
                </c:pt>
                <c:pt idx="119">
                  <c:v>567.45503117598457</c:v>
                </c:pt>
                <c:pt idx="120">
                  <c:v>572.22356084973228</c:v>
                </c:pt>
                <c:pt idx="121">
                  <c:v>576.9920905234801</c:v>
                </c:pt>
                <c:pt idx="122">
                  <c:v>581.76062019722781</c:v>
                </c:pt>
                <c:pt idx="123">
                  <c:v>586.52914987097563</c:v>
                </c:pt>
                <c:pt idx="124">
                  <c:v>591.29767954472334</c:v>
                </c:pt>
                <c:pt idx="125">
                  <c:v>596.06620921847116</c:v>
                </c:pt>
                <c:pt idx="126">
                  <c:v>600.83473889221887</c:v>
                </c:pt>
                <c:pt idx="127">
                  <c:v>605.60326856596669</c:v>
                </c:pt>
                <c:pt idx="128">
                  <c:v>610.37179823971439</c:v>
                </c:pt>
                <c:pt idx="129">
                  <c:v>615.14032791346222</c:v>
                </c:pt>
                <c:pt idx="130">
                  <c:v>619.90885758720992</c:v>
                </c:pt>
                <c:pt idx="131">
                  <c:v>624.67738726095774</c:v>
                </c:pt>
                <c:pt idx="132">
                  <c:v>629.44591693470545</c:v>
                </c:pt>
                <c:pt idx="133">
                  <c:v>634.21444660845327</c:v>
                </c:pt>
                <c:pt idx="134">
                  <c:v>638.98297628220109</c:v>
                </c:pt>
                <c:pt idx="135">
                  <c:v>643.75150595594891</c:v>
                </c:pt>
                <c:pt idx="136">
                  <c:v>648.52003562969662</c:v>
                </c:pt>
                <c:pt idx="137">
                  <c:v>653.28856530344444</c:v>
                </c:pt>
                <c:pt idx="138">
                  <c:v>658.05709497719215</c:v>
                </c:pt>
                <c:pt idx="139">
                  <c:v>662.82562465093997</c:v>
                </c:pt>
                <c:pt idx="140">
                  <c:v>667.59415432468768</c:v>
                </c:pt>
                <c:pt idx="141">
                  <c:v>672.3626839984355</c:v>
                </c:pt>
                <c:pt idx="142">
                  <c:v>677.13121367218321</c:v>
                </c:pt>
                <c:pt idx="143">
                  <c:v>681.89974334593103</c:v>
                </c:pt>
                <c:pt idx="144">
                  <c:v>686.66827301967874</c:v>
                </c:pt>
                <c:pt idx="145">
                  <c:v>691.43680269342656</c:v>
                </c:pt>
                <c:pt idx="146">
                  <c:v>696.20533236717426</c:v>
                </c:pt>
                <c:pt idx="147">
                  <c:v>700.97386204092209</c:v>
                </c:pt>
                <c:pt idx="148">
                  <c:v>705.74239171466979</c:v>
                </c:pt>
                <c:pt idx="149">
                  <c:v>710.51092138841761</c:v>
                </c:pt>
                <c:pt idx="150">
                  <c:v>715.27945106216532</c:v>
                </c:pt>
                <c:pt idx="151">
                  <c:v>720.04798073591314</c:v>
                </c:pt>
                <c:pt idx="152">
                  <c:v>724.81651040966085</c:v>
                </c:pt>
                <c:pt idx="153">
                  <c:v>729.58504008340867</c:v>
                </c:pt>
                <c:pt idx="154">
                  <c:v>734.35356975715638</c:v>
                </c:pt>
                <c:pt idx="155">
                  <c:v>739.1220994309042</c:v>
                </c:pt>
                <c:pt idx="156">
                  <c:v>743.89062910465191</c:v>
                </c:pt>
                <c:pt idx="157">
                  <c:v>748.65915877839973</c:v>
                </c:pt>
                <c:pt idx="158">
                  <c:v>753.42768845214755</c:v>
                </c:pt>
                <c:pt idx="159">
                  <c:v>758.19621812589537</c:v>
                </c:pt>
                <c:pt idx="160">
                  <c:v>762.96474779964308</c:v>
                </c:pt>
                <c:pt idx="161">
                  <c:v>767.7332774733909</c:v>
                </c:pt>
                <c:pt idx="162">
                  <c:v>772.50180714713861</c:v>
                </c:pt>
                <c:pt idx="163">
                  <c:v>777.27033682088643</c:v>
                </c:pt>
                <c:pt idx="164">
                  <c:v>782.03886649463414</c:v>
                </c:pt>
                <c:pt idx="165">
                  <c:v>786.80739616838196</c:v>
                </c:pt>
                <c:pt idx="166">
                  <c:v>791.57592584212966</c:v>
                </c:pt>
                <c:pt idx="167">
                  <c:v>796.34445551587748</c:v>
                </c:pt>
                <c:pt idx="168">
                  <c:v>801.11298518962519</c:v>
                </c:pt>
                <c:pt idx="169">
                  <c:v>805.88151486337301</c:v>
                </c:pt>
                <c:pt idx="170">
                  <c:v>810.65004453712072</c:v>
                </c:pt>
                <c:pt idx="171">
                  <c:v>815.41857421086854</c:v>
                </c:pt>
              </c:numCache>
            </c:numRef>
          </c:xVal>
          <c:yVal>
            <c:numRef>
              <c:f>Foglio2!$AF$4:$AF$175</c:f>
              <c:numCache>
                <c:formatCode>0.0</c:formatCode>
                <c:ptCount val="172"/>
                <c:pt idx="0">
                  <c:v>-362.10150745940484</c:v>
                </c:pt>
                <c:pt idx="1">
                  <c:v>-362.09531573197847</c:v>
                </c:pt>
                <c:pt idx="2">
                  <c:v>-362.07673991440601</c:v>
                </c:pt>
                <c:pt idx="3">
                  <c:v>-362.04577810048158</c:v>
                </c:pt>
                <c:pt idx="4">
                  <c:v>-362.00242711210842</c:v>
                </c:pt>
                <c:pt idx="5">
                  <c:v>-361.94668249766721</c:v>
                </c:pt>
                <c:pt idx="6">
                  <c:v>-361.8785385297287</c:v>
                </c:pt>
                <c:pt idx="7">
                  <c:v>-361.79798820210857</c:v>
                </c:pt>
                <c:pt idx="8">
                  <c:v>-361.70502322626004</c:v>
                </c:pt>
                <c:pt idx="9">
                  <c:v>-361.59963402700095</c:v>
                </c:pt>
                <c:pt idx="10">
                  <c:v>-361.48180973756928</c:v>
                </c:pt>
                <c:pt idx="11">
                  <c:v>-361.35153819400153</c:v>
                </c:pt>
                <c:pt idx="12">
                  <c:v>-361.20880592882725</c:v>
                </c:pt>
                <c:pt idx="13">
                  <c:v>-361.05359816407156</c:v>
                </c:pt>
                <c:pt idx="14">
                  <c:v>-360.88589880355823</c:v>
                </c:pt>
                <c:pt idx="15">
                  <c:v>-360.70569042450211</c:v>
                </c:pt>
                <c:pt idx="16">
                  <c:v>-360.51295426838266</c:v>
                </c:pt>
                <c:pt idx="17">
                  <c:v>-360.30767023108552</c:v>
                </c:pt>
                <c:pt idx="18">
                  <c:v>-360.08981685230123</c:v>
                </c:pt>
                <c:pt idx="19">
                  <c:v>-359.85937130416727</c:v>
                </c:pt>
                <c:pt idx="20">
                  <c:v>-359.61630937913918</c:v>
                </c:pt>
                <c:pt idx="21">
                  <c:v>-359.36060547707564</c:v>
                </c:pt>
                <c:pt idx="22">
                  <c:v>-359.09223259152174</c:v>
                </c:pt>
                <c:pt idx="23">
                  <c:v>-358.81116229517198</c:v>
                </c:pt>
                <c:pt idx="24">
                  <c:v>-358.51736472449477</c:v>
                </c:pt>
                <c:pt idx="25">
                  <c:v>-358.21080856349948</c:v>
                </c:pt>
                <c:pt idx="26">
                  <c:v>-357.89146102662363</c:v>
                </c:pt>
                <c:pt idx="27">
                  <c:v>-357.55928784071864</c:v>
                </c:pt>
                <c:pt idx="28">
                  <c:v>-357.21425322611088</c:v>
                </c:pt>
                <c:pt idx="29">
                  <c:v>-356.85631987671132</c:v>
                </c:pt>
                <c:pt idx="30">
                  <c:v>-356.48544893914936</c:v>
                </c:pt>
                <c:pt idx="31">
                  <c:v>-356.10159999090075</c:v>
                </c:pt>
                <c:pt idx="32">
                  <c:v>-355.70473101738139</c:v>
                </c:pt>
                <c:pt idx="33">
                  <c:v>-355.29479838797425</c:v>
                </c:pt>
                <c:pt idx="34">
                  <c:v>-354.87175683095774</c:v>
                </c:pt>
                <c:pt idx="35">
                  <c:v>-354.43555940729908</c:v>
                </c:pt>
                <c:pt idx="36">
                  <c:v>-353.98615748327666</c:v>
                </c:pt>
                <c:pt idx="37">
                  <c:v>-353.5235007018922</c:v>
                </c:pt>
                <c:pt idx="38">
                  <c:v>-353.04753695303117</c:v>
                </c:pt>
                <c:pt idx="39">
                  <c:v>-352.55821234232866</c:v>
                </c:pt>
                <c:pt idx="40">
                  <c:v>-352.05547115869484</c:v>
                </c:pt>
                <c:pt idx="41">
                  <c:v>-351.53925584045123</c:v>
                </c:pt>
                <c:pt idx="42">
                  <c:v>-351.00950694002768</c:v>
                </c:pt>
                <c:pt idx="43">
                  <c:v>-350.46616308716585</c:v>
                </c:pt>
                <c:pt idx="44">
                  <c:v>-349.90916095057304</c:v>
                </c:pt>
                <c:pt idx="45">
                  <c:v>-349.33843519796619</c:v>
                </c:pt>
                <c:pt idx="46">
                  <c:v>-348.75391845444364</c:v>
                </c:pt>
                <c:pt idx="47">
                  <c:v>-348.15554125911785</c:v>
                </c:pt>
                <c:pt idx="48">
                  <c:v>-347.54323201993935</c:v>
                </c:pt>
                <c:pt idx="49">
                  <c:v>-346.91691696663764</c:v>
                </c:pt>
                <c:pt idx="50">
                  <c:v>-346.27652010170146</c:v>
                </c:pt>
                <c:pt idx="51">
                  <c:v>-345.62196314931521</c:v>
                </c:pt>
                <c:pt idx="52">
                  <c:v>-344.95316550216592</c:v>
                </c:pt>
                <c:pt idx="53">
                  <c:v>-344.27004416602711</c:v>
                </c:pt>
                <c:pt idx="54">
                  <c:v>-343.5725137020238</c:v>
                </c:pt>
                <c:pt idx="55">
                  <c:v>-342.86048616647543</c:v>
                </c:pt>
                <c:pt idx="56">
                  <c:v>-342.13387104820816</c:v>
                </c:pt>
                <c:pt idx="57">
                  <c:v>-341.39257520322184</c:v>
                </c:pt>
                <c:pt idx="58">
                  <c:v>-340.63650278658997</c:v>
                </c:pt>
                <c:pt idx="59">
                  <c:v>-339.86555518146452</c:v>
                </c:pt>
                <c:pt idx="60">
                  <c:v>-339.07963092504855</c:v>
                </c:pt>
                <c:pt idx="61">
                  <c:v>-338.27862563139377</c:v>
                </c:pt>
                <c:pt idx="62">
                  <c:v>-337.4624319108687</c:v>
                </c:pt>
                <c:pt idx="63">
                  <c:v>-336.63093928613608</c:v>
                </c:pt>
                <c:pt idx="64">
                  <c:v>-335.78403410446759</c:v>
                </c:pt>
                <c:pt idx="65">
                  <c:v>-334.92159944621335</c:v>
                </c:pt>
                <c:pt idx="66">
                  <c:v>-334.04351502923208</c:v>
                </c:pt>
                <c:pt idx="67">
                  <c:v>-333.1496571090766</c:v>
                </c:pt>
                <c:pt idx="68">
                  <c:v>-332.23989837471561</c:v>
                </c:pt>
                <c:pt idx="69">
                  <c:v>-331.31410783955886</c:v>
                </c:pt>
                <c:pt idx="70">
                  <c:v>-330.37215072753918</c:v>
                </c:pt>
                <c:pt idx="71">
                  <c:v>-329.41388835398601</c:v>
                </c:pt>
                <c:pt idx="72">
                  <c:v>-328.4391780010119</c:v>
                </c:pt>
                <c:pt idx="73">
                  <c:v>-327.44787278711073</c:v>
                </c:pt>
                <c:pt idx="74">
                  <c:v>-326.43982153065036</c:v>
                </c:pt>
                <c:pt idx="75">
                  <c:v>-325.41486860691742</c:v>
                </c:pt>
                <c:pt idx="76">
                  <c:v>-324.37285379835242</c:v>
                </c:pt>
                <c:pt idx="77">
                  <c:v>-323.3136121375851</c:v>
                </c:pt>
                <c:pt idx="78">
                  <c:v>-322.23697374285558</c:v>
                </c:pt>
                <c:pt idx="79">
                  <c:v>-321.14276364537665</c:v>
                </c:pt>
                <c:pt idx="80">
                  <c:v>-320.0308016081612</c:v>
                </c:pt>
                <c:pt idx="81">
                  <c:v>-318.90090193580465</c:v>
                </c:pt>
                <c:pt idx="82">
                  <c:v>-317.75287327467657</c:v>
                </c:pt>
                <c:pt idx="83">
                  <c:v>-316.58651840293379</c:v>
                </c:pt>
                <c:pt idx="84">
                  <c:v>-315.40163400972591</c:v>
                </c:pt>
                <c:pt idx="85">
                  <c:v>-314.19801046291582</c:v>
                </c:pt>
                <c:pt idx="86">
                  <c:v>-312.97543156458704</c:v>
                </c:pt>
                <c:pt idx="87">
                  <c:v>-311.73367429355454</c:v>
                </c:pt>
                <c:pt idx="88">
                  <c:v>-310.47250853403409</c:v>
                </c:pt>
                <c:pt idx="89">
                  <c:v>-309.19169678956013</c:v>
                </c:pt>
                <c:pt idx="90">
                  <c:v>-307.89099388116932</c:v>
                </c:pt>
                <c:pt idx="91">
                  <c:v>-306.57014662878817</c:v>
                </c:pt>
                <c:pt idx="92">
                  <c:v>-305.22889351467796</c:v>
                </c:pt>
                <c:pt idx="93">
                  <c:v>-303.86696432769395</c:v>
                </c:pt>
                <c:pt idx="94">
                  <c:v>-302.48407978701454</c:v>
                </c:pt>
                <c:pt idx="95">
                  <c:v>-301.07995114388035</c:v>
                </c:pt>
                <c:pt idx="96">
                  <c:v>-299.65427975976132</c:v>
                </c:pt>
                <c:pt idx="97">
                  <c:v>-298.20675665922914</c:v>
                </c:pt>
                <c:pt idx="98">
                  <c:v>-296.73706205566509</c:v>
                </c:pt>
                <c:pt idx="99">
                  <c:v>-295.24486484776332</c:v>
                </c:pt>
                <c:pt idx="100">
                  <c:v>-293.72982208460877</c:v>
                </c:pt>
                <c:pt idx="101">
                  <c:v>-292.19157839690268</c:v>
                </c:pt>
                <c:pt idx="102">
                  <c:v>-290.62976539168562</c:v>
                </c:pt>
                <c:pt idx="103">
                  <c:v>-289.0440010076573</c:v>
                </c:pt>
                <c:pt idx="104">
                  <c:v>-287.4338888279155</c:v>
                </c:pt>
                <c:pt idx="105">
                  <c:v>-285.79901734662747</c:v>
                </c:pt>
                <c:pt idx="106">
                  <c:v>-284.13895918580533</c:v>
                </c:pt>
                <c:pt idx="107">
                  <c:v>-282.45327025797229</c:v>
                </c:pt>
                <c:pt idx="108">
                  <c:v>-280.74148887007965</c:v>
                </c:pt>
                <c:pt idx="109">
                  <c:v>-279.00313476355495</c:v>
                </c:pt>
                <c:pt idx="110">
                  <c:v>-277.23770808482607</c:v>
                </c:pt>
                <c:pt idx="111">
                  <c:v>-275.44468828006029</c:v>
                </c:pt>
                <c:pt idx="112">
                  <c:v>-273.62353290718158</c:v>
                </c:pt>
                <c:pt idx="113">
                  <c:v>-271.77367635746253</c:v>
                </c:pt>
                <c:pt idx="114">
                  <c:v>-269.89452847812549</c:v>
                </c:pt>
                <c:pt idx="115">
                  <c:v>-267.98547308640451</c:v>
                </c:pt>
                <c:pt idx="116">
                  <c:v>-266.0458663644182</c:v>
                </c:pt>
                <c:pt idx="117">
                  <c:v>-264.07503512293476</c:v>
                </c:pt>
                <c:pt idx="118">
                  <c:v>-262.07227492067921</c:v>
                </c:pt>
                <c:pt idx="119">
                  <c:v>-260.03684802419133</c:v>
                </c:pt>
                <c:pt idx="120">
                  <c:v>-257.96798119136457</c:v>
                </c:pt>
                <c:pt idx="121">
                  <c:v>-255.8648632596425</c:v>
                </c:pt>
                <c:pt idx="122">
                  <c:v>-253.7266425173722</c:v>
                </c:pt>
                <c:pt idx="123">
                  <c:v>-251.55242383395293</c:v>
                </c:pt>
                <c:pt idx="124">
                  <c:v>-249.34126552111371</c:v>
                </c:pt>
                <c:pt idx="125">
                  <c:v>-247.09217589381464</c:v>
                </c:pt>
                <c:pt idx="126">
                  <c:v>-244.80410949480535</c:v>
                </c:pt>
                <c:pt idx="127">
                  <c:v>-242.47596294165933</c:v>
                </c:pt>
                <c:pt idx="128">
                  <c:v>-240.10657034900308</c:v>
                </c:pt>
                <c:pt idx="129">
                  <c:v>-237.6946982714845</c:v>
                </c:pt>
                <c:pt idx="130">
                  <c:v>-235.23904010456869</c:v>
                </c:pt>
                <c:pt idx="131">
                  <c:v>-232.7382098702341</c:v>
                </c:pt>
                <c:pt idx="132">
                  <c:v>-230.19073530274622</c:v>
                </c:pt>
                <c:pt idx="133">
                  <c:v>-227.5950501354813</c:v>
                </c:pt>
                <c:pt idx="134">
                  <c:v>-224.9494854727634</c:v>
                </c:pt>
                <c:pt idx="135">
                  <c:v>-222.25226011018484</c:v>
                </c:pt>
                <c:pt idx="136">
                  <c:v>-219.50146964210757</c:v>
                </c:pt>
                <c:pt idx="137">
                  <c:v>-216.69507416492027</c:v>
                </c:pt>
                <c:pt idx="138">
                  <c:v>-213.83088434782081</c:v>
                </c:pt>
                <c:pt idx="139">
                  <c:v>-210.90654559765886</c:v>
                </c:pt>
                <c:pt idx="140">
                  <c:v>-207.9195199884781</c:v>
                </c:pt>
                <c:pt idx="141">
                  <c:v>-204.86706555685413</c:v>
                </c:pt>
                <c:pt idx="142">
                  <c:v>-201.74621247708504</c:v>
                </c:pt>
                <c:pt idx="143">
                  <c:v>-198.55373552053203</c:v>
                </c:pt>
                <c:pt idx="144">
                  <c:v>-195.28612206401445</c:v>
                </c:pt>
                <c:pt idx="145">
                  <c:v>-191.93953473367696</c:v>
                </c:pt>
                <c:pt idx="146">
                  <c:v>-188.50976754029253</c:v>
                </c:pt>
                <c:pt idx="147">
                  <c:v>-184.99219406165588</c:v>
                </c:pt>
                <c:pt idx="148">
                  <c:v>-181.38170583256488</c:v>
                </c:pt>
                <c:pt idx="149">
                  <c:v>-177.6726385773913</c:v>
                </c:pt>
                <c:pt idx="150">
                  <c:v>-173.85868321343361</c:v>
                </c:pt>
                <c:pt idx="151">
                  <c:v>-169.93277759073223</c:v>
                </c:pt>
                <c:pt idx="152">
                  <c:v>-165.88697360561196</c:v>
                </c:pt>
                <c:pt idx="153">
                  <c:v>-161.71227246468405</c:v>
                </c:pt>
                <c:pt idx="154">
                  <c:v>-157.39841822804618</c:v>
                </c:pt>
                <c:pt idx="155">
                  <c:v>-152.933635924296</c:v>
                </c:pt>
                <c:pt idx="156">
                  <c:v>-148.30429486260627</c:v>
                </c:pt>
                <c:pt idx="157">
                  <c:v>-143.49446920944396</c:v>
                </c:pt>
                <c:pt idx="158">
                  <c:v>-138.48535465543173</c:v>
                </c:pt>
                <c:pt idx="159">
                  <c:v>-133.2544789330434</c:v>
                </c:pt>
                <c:pt idx="160">
                  <c:v>-127.77460936637074</c:v>
                </c:pt>
                <c:pt idx="161">
                  <c:v>-122.01220177947685</c:v>
                </c:pt>
                <c:pt idx="162">
                  <c:v>-115.92513061781951</c:v>
                </c:pt>
                <c:pt idx="163">
                  <c:v>-109.45924527319137</c:v>
                </c:pt>
                <c:pt idx="164">
                  <c:v>-102.54291191559935</c:v>
                </c:pt>
                <c:pt idx="165">
                  <c:v>-95.077879308593808</c:v>
                </c:pt>
                <c:pt idx="166">
                  <c:v>-86.922893560006472</c:v>
                </c:pt>
                <c:pt idx="167">
                  <c:v>-77.861464520033067</c:v>
                </c:pt>
                <c:pt idx="168">
                  <c:v>-67.529681110605324</c:v>
                </c:pt>
                <c:pt idx="169">
                  <c:v>-55.219017973259788</c:v>
                </c:pt>
                <c:pt idx="170">
                  <c:v>-39.103120109498526</c:v>
                </c:pt>
                <c:pt idx="17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5399024"/>
        <c:axId val="-105401744"/>
      </c:scatterChart>
      <c:valAx>
        <c:axId val="-10539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05401744"/>
        <c:crosses val="autoZero"/>
        <c:crossBetween val="midCat"/>
      </c:valAx>
      <c:valAx>
        <c:axId val="-10540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05399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23764169974620941"/>
          <c:y val="0.9072556978849845"/>
          <c:w val="0.48908006333919002"/>
          <c:h val="8.946382816720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133350</xdr:rowOff>
    </xdr:from>
    <xdr:to>
      <xdr:col>10</xdr:col>
      <xdr:colOff>247650</xdr:colOff>
      <xdr:row>3</xdr:row>
      <xdr:rowOff>98988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133350"/>
          <a:ext cx="5695950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333375</xdr:colOff>
      <xdr:row>3</xdr:row>
      <xdr:rowOff>166687</xdr:rowOff>
    </xdr:from>
    <xdr:ext cx="4371975" cy="5878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sellaDiTesto 2"/>
            <xdr:cNvSpPr txBox="1"/>
          </xdr:nvSpPr>
          <xdr:spPr>
            <a:xfrm>
              <a:off x="13354050" y="814387"/>
              <a:ext cx="4371975" cy="587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it-IT" sz="18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𝐺𝐻𝐸𝑅𝑆𝐼</m:t>
                      </m:r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it-IT" sz="18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it-IT" sz="18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𝑆𝑑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0,7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𝑅𝑑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  <m:sup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1,5</m:t>
                      </m:r>
                    </m:sup>
                  </m:sSup>
                </m:oMath>
              </a14:m>
              <a:r>
                <a:rPr lang="it-IT" sz="1800"/>
                <a:t>+</a:t>
              </a:r>
              <a14:m>
                <m:oMath xmlns:m="http://schemas.openxmlformats.org/officeDocument/2006/math">
                  <m:sSup>
                    <m:sSupPr>
                      <m:ctrlPr>
                        <a:rPr lang="it-IT" sz="18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it-IT" sz="18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it-IT" sz="18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𝑆𝑑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0,7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𝑅𝑑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  <m:sup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1,5</m:t>
                      </m:r>
                    </m:sup>
                  </m:sSup>
                  <m:r>
                    <a:rPr lang="it-IT" sz="18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≤1</m:t>
                  </m:r>
                </m:oMath>
              </a14:m>
              <a:endParaRPr lang="it-IT" sz="1100"/>
            </a:p>
          </xdr:txBody>
        </xdr:sp>
      </mc:Choice>
      <mc:Fallback xmlns="">
        <xdr:sp macro="" textlink="">
          <xdr:nvSpPr>
            <xdr:cNvPr id="3" name="CasellaDiTesto 2"/>
            <xdr:cNvSpPr txBox="1"/>
          </xdr:nvSpPr>
          <xdr:spPr>
            <a:xfrm>
              <a:off x="13354050" y="814387"/>
              <a:ext cx="4371975" cy="5878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𝐺𝐻𝐸𝑅𝑆𝐼 (𝑀_(𝑆𝑑,𝑥)/〖0,7𝑀〗_(𝑅𝑑,𝑥) )〗^1,5</a:t>
              </a:r>
              <a:r>
                <a:rPr lang="it-IT" sz="1800"/>
                <a:t>+</a:t>
              </a:r>
              <a:r>
                <a:rPr lang="it-IT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𝑀_(𝑆𝑑,𝑦)/〖0,7𝑀〗_(𝑅𝑑,𝑦) )^1,5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≤1</a:t>
              </a:r>
              <a:endParaRPr lang="it-IT" sz="1100"/>
            </a:p>
          </xdr:txBody>
        </xdr:sp>
      </mc:Fallback>
    </mc:AlternateContent>
    <xdr:clientData/>
  </xdr:oneCellAnchor>
  <xdr:oneCellAnchor>
    <xdr:from>
      <xdr:col>14</xdr:col>
      <xdr:colOff>57149</xdr:colOff>
      <xdr:row>6</xdr:row>
      <xdr:rowOff>223837</xdr:rowOff>
    </xdr:from>
    <xdr:ext cx="3486151" cy="5623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sellaDiTesto 3"/>
            <xdr:cNvSpPr txBox="1"/>
          </xdr:nvSpPr>
          <xdr:spPr>
            <a:xfrm>
              <a:off x="12106274" y="1497806"/>
              <a:ext cx="3486151" cy="5623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it-IT" sz="18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𝑁𝑇𝐶</m:t>
                      </m:r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d>
                        <m:dPr>
                          <m:ctrlPr>
                            <a:rPr lang="it-IT" sz="18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it-IT" sz="18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𝑆𝑑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0,7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𝑅𝑑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𝑥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  <m:sup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p>
                  </m:sSup>
                </m:oMath>
              </a14:m>
              <a:r>
                <a:rPr lang="it-IT" sz="1800"/>
                <a:t>+</a:t>
              </a:r>
              <a14:m>
                <m:oMath xmlns:m="http://schemas.openxmlformats.org/officeDocument/2006/math">
                  <m:sSup>
                    <m:sSupPr>
                      <m:ctrlPr>
                        <a:rPr lang="it-IT" sz="18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d>
                        <m:dPr>
                          <m:ctrlPr>
                            <a:rPr lang="it-IT" sz="18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it-IT" sz="180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𝑆𝑑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num>
                            <m:den>
                              <m:sSub>
                                <m:sSubPr>
                                  <m:ctrlPr>
                                    <a:rPr lang="it-IT" sz="180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</m:ctrlPr>
                                </m:sSubPr>
                                <m:e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0,7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𝑀</m:t>
                                  </m:r>
                                </m:e>
                                <m:sub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𝑅𝑑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,</m:t>
                                  </m:r>
                                  <m:r>
                                    <a:rPr lang="it-IT" sz="18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 panose="02040503050406030204" pitchFamily="18" charset="0"/>
                                      <a:ea typeface="+mn-ea"/>
                                      <a:cs typeface="+mn-cs"/>
                                    </a:rPr>
                                    <m:t>𝑦</m:t>
                                  </m:r>
                                </m:sub>
                              </m:sSub>
                            </m:den>
                          </m:f>
                        </m:e>
                      </m:d>
                    </m:e>
                    <m:sup>
                      <m:r>
                        <a:rPr lang="it-IT" sz="18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sup>
                  </m:sSup>
                  <m:r>
                    <a:rPr lang="it-IT" sz="18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≤1</m:t>
                  </m:r>
                </m:oMath>
              </a14:m>
              <a:endParaRPr lang="it-IT" sz="1100"/>
            </a:p>
          </xdr:txBody>
        </xdr:sp>
      </mc:Choice>
      <mc:Fallback xmlns="">
        <xdr:sp macro="" textlink="">
          <xdr:nvSpPr>
            <xdr:cNvPr id="4" name="CasellaDiTesto 3"/>
            <xdr:cNvSpPr txBox="1"/>
          </xdr:nvSpPr>
          <xdr:spPr>
            <a:xfrm>
              <a:off x="12106274" y="1497806"/>
              <a:ext cx="3486151" cy="5623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it-IT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𝑁𝑇𝐶 (𝑀_(𝑆𝑑,𝑥)/〖0,7𝑀〗_(𝑅𝑑,𝑥) )〗^1</a:t>
              </a:r>
              <a:r>
                <a:rPr lang="it-IT" sz="1800"/>
                <a:t>+</a:t>
              </a:r>
              <a:r>
                <a:rPr lang="it-IT" sz="18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𝑀_(𝑆𝑑,𝑦)/〖0,7𝑀〗_(𝑅𝑑,𝑦) )^1</a:t>
              </a:r>
              <a:r>
                <a:rPr lang="it-IT" sz="1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≤1</a:t>
              </a:r>
              <a:endParaRPr lang="it-IT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57150</xdr:rowOff>
        </xdr:from>
        <xdr:to>
          <xdr:col>8</xdr:col>
          <xdr:colOff>47625</xdr:colOff>
          <xdr:row>27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24</xdr:row>
          <xdr:rowOff>85725</xdr:rowOff>
        </xdr:from>
        <xdr:to>
          <xdr:col>3</xdr:col>
          <xdr:colOff>647700</xdr:colOff>
          <xdr:row>27</xdr:row>
          <xdr:rowOff>57150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24</xdr:row>
          <xdr:rowOff>38100</xdr:rowOff>
        </xdr:from>
        <xdr:to>
          <xdr:col>12</xdr:col>
          <xdr:colOff>133350</xdr:colOff>
          <xdr:row>27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0</xdr:col>
      <xdr:colOff>275166</xdr:colOff>
      <xdr:row>27</xdr:row>
      <xdr:rowOff>84667</xdr:rowOff>
    </xdr:from>
    <xdr:ext cx="7030430" cy="4515480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6" y="5704417"/>
          <a:ext cx="7030430" cy="45154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19050</xdr:rowOff>
    </xdr:from>
    <xdr:to>
      <xdr:col>10</xdr:col>
      <xdr:colOff>238125</xdr:colOff>
      <xdr:row>20</xdr:row>
      <xdr:rowOff>133350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257175</xdr:colOff>
      <xdr:row>0</xdr:row>
      <xdr:rowOff>9524</xdr:rowOff>
    </xdr:from>
    <xdr:to>
      <xdr:col>19</xdr:col>
      <xdr:colOff>304799</xdr:colOff>
      <xdr:row>20</xdr:row>
      <xdr:rowOff>133350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380999</xdr:colOff>
      <xdr:row>20</xdr:row>
      <xdr:rowOff>142874</xdr:rowOff>
    </xdr:from>
    <xdr:to>
      <xdr:col>15</xdr:col>
      <xdr:colOff>47624</xdr:colOff>
      <xdr:row>45</xdr:row>
      <xdr:rowOff>171450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la/Documents/6.VARIE%20PER%20LA%20PROFESSIONE/PROGRAMMI%20UTILI/PROGETTO%20TRAVE/PROGETTO%20TRAVE%20PRINCIPALE%20CAP7%20+%20SLE-NTC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la/Desktop/momento-curvatu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tecnico\f\Users\Nicla\Documents\6.VARIE%20PER%20LA%20PROFESSIONE\PROGRAMMI%20UTILI\PROGETTO%20SOLAIO%20BAUSTA\CALCOLO%20SOLAIO%20SLU+S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PROGETTO FLESSIONE E TAGLIO "/>
      <sheetName val="Verifica SLE mezzeria"/>
      <sheetName val="Foglio deposito"/>
      <sheetName val="Foglio1"/>
    </sheetNames>
    <sheetDataSet>
      <sheetData sheetId="0"/>
      <sheetData sheetId="1"/>
      <sheetData sheetId="2"/>
      <sheetData sheetId="3">
        <row r="2">
          <cell r="B2" t="str">
            <v>SI</v>
          </cell>
          <cell r="D2" t="str">
            <v>ordinaria</v>
          </cell>
          <cell r="F2" t="str">
            <v>P,sle carat.</v>
          </cell>
        </row>
        <row r="3">
          <cell r="D3" t="str">
            <v>aggressiva</v>
          </cell>
          <cell r="F3" t="str">
            <v>P,sle freq.</v>
          </cell>
        </row>
        <row r="4">
          <cell r="D4" t="str">
            <v>molto aggressiva</v>
          </cell>
          <cell r="F4" t="str">
            <v>P,sle quas. Perm</v>
          </cell>
        </row>
        <row r="10">
          <cell r="P10" t="str">
            <v>Fe B450C</v>
          </cell>
        </row>
        <row r="11">
          <cell r="P11" t="str">
            <v>Fe B44k</v>
          </cell>
        </row>
        <row r="141">
          <cell r="E141" t="str">
            <v>σ c,vecchio</v>
          </cell>
          <cell r="F141" t="str">
            <v>σ s,vecchio</v>
          </cell>
        </row>
        <row r="142">
          <cell r="E142" t="str">
            <v>σ c,nuovo</v>
          </cell>
          <cell r="F142" t="str">
            <v>σ s, nuovo</v>
          </cell>
        </row>
      </sheetData>
      <sheetData sheetId="4">
        <row r="4">
          <cell r="K4">
            <v>0</v>
          </cell>
          <cell r="M4">
            <v>0</v>
          </cell>
          <cell r="N4">
            <v>8</v>
          </cell>
        </row>
        <row r="5">
          <cell r="K5">
            <v>14</v>
          </cell>
          <cell r="M5">
            <v>1</v>
          </cell>
          <cell r="N5">
            <v>10</v>
          </cell>
        </row>
        <row r="6">
          <cell r="K6">
            <v>16</v>
          </cell>
          <cell r="M6">
            <v>2</v>
          </cell>
          <cell r="N6">
            <v>12</v>
          </cell>
        </row>
        <row r="7">
          <cell r="K7">
            <v>18</v>
          </cell>
          <cell r="M7">
            <v>3</v>
          </cell>
          <cell r="N7">
            <v>14</v>
          </cell>
        </row>
        <row r="8">
          <cell r="K8">
            <v>20</v>
          </cell>
          <cell r="M8">
            <v>4</v>
          </cell>
          <cell r="N8">
            <v>16</v>
          </cell>
        </row>
        <row r="9">
          <cell r="M9">
            <v>5</v>
          </cell>
          <cell r="N9">
            <v>18</v>
          </cell>
        </row>
        <row r="10">
          <cell r="M10">
            <v>6</v>
          </cell>
        </row>
        <row r="19">
          <cell r="S19" t="str">
            <v>Classe di duttilità alta CD"A"</v>
          </cell>
        </row>
        <row r="20">
          <cell r="S20" t="str">
            <v>Classe di duttilità bassa CD"B"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2 (19)"/>
      <sheetName val="Foglio2 (18)"/>
      <sheetName val="Foglio2 (17)"/>
      <sheetName val="Foglio2 (16)"/>
      <sheetName val="Foglio2 (15)"/>
      <sheetName val="Foglio2 (14)"/>
      <sheetName val="Foglio2 (13)"/>
      <sheetName val="Foglio2 (12)"/>
      <sheetName val="Foglio2 (11)"/>
      <sheetName val="Foglio2 (10)"/>
      <sheetName val="Foglio2 (9)"/>
      <sheetName val="Foglio2 (8)"/>
      <sheetName val="Foglio2 (7)"/>
      <sheetName val="Foglio2 (6)"/>
      <sheetName val="Foglio2 (5)"/>
      <sheetName val="Foglio2 (4)"/>
      <sheetName val="Foglio2 (3)"/>
      <sheetName val="Foglio2 (2)"/>
      <sheetName val="Foglio2"/>
      <sheetName val="ISTRUZIONI"/>
      <sheetName val="DATI"/>
      <sheetName val="M-χ"/>
      <sheetName val="LEGAMI COSTITUTIVI DI CALCOLO"/>
      <sheetName val="LIMITAZIONI TRAVI"/>
      <sheetName val="LIMITAZIONE PILASTRI"/>
      <sheetName val="CONFINAMENTO"/>
      <sheetName val="foglio deposi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2">
          <cell r="M12" t="str">
            <v>si</v>
          </cell>
        </row>
        <row r="33">
          <cell r="B33">
            <v>2</v>
          </cell>
        </row>
        <row r="34">
          <cell r="B34">
            <v>3</v>
          </cell>
        </row>
        <row r="35">
          <cell r="B35">
            <v>4</v>
          </cell>
        </row>
        <row r="36">
          <cell r="B36">
            <v>5</v>
          </cell>
        </row>
        <row r="37">
          <cell r="B37">
            <v>6</v>
          </cell>
        </row>
        <row r="38">
          <cell r="B38">
            <v>7</v>
          </cell>
        </row>
        <row r="39">
          <cell r="B39">
            <v>8</v>
          </cell>
        </row>
        <row r="40">
          <cell r="B40">
            <v>9</v>
          </cell>
        </row>
        <row r="41">
          <cell r="B41">
            <v>10</v>
          </cell>
        </row>
        <row r="42">
          <cell r="B42">
            <v>11</v>
          </cell>
        </row>
        <row r="43">
          <cell r="B43">
            <v>12</v>
          </cell>
        </row>
        <row r="44">
          <cell r="B44">
            <v>13</v>
          </cell>
        </row>
        <row r="45">
          <cell r="B45">
            <v>14</v>
          </cell>
        </row>
        <row r="46">
          <cell r="B46">
            <v>15</v>
          </cell>
        </row>
        <row r="47">
          <cell r="B47">
            <v>16</v>
          </cell>
        </row>
        <row r="48">
          <cell r="B48">
            <v>17</v>
          </cell>
        </row>
        <row r="49">
          <cell r="B49">
            <v>18</v>
          </cell>
        </row>
        <row r="50">
          <cell r="B50">
            <v>19</v>
          </cell>
        </row>
        <row r="51">
          <cell r="B51">
            <v>20</v>
          </cell>
        </row>
      </sheetData>
      <sheetData sheetId="22"/>
      <sheetData sheetId="23"/>
      <sheetData sheetId="24"/>
      <sheetData sheetId="25">
        <row r="35">
          <cell r="F35">
            <v>0.29824379354804403</v>
          </cell>
        </row>
      </sheetData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a e caratt (4)"/>
      <sheetName val="Comb. 1 (4)"/>
      <sheetName val="Comb. 2 (4)"/>
      <sheetName val="Comb. 3 (4)"/>
      <sheetName val="Comb. 4 (4)"/>
      <sheetName val="Comb. 5  (4)"/>
      <sheetName val="Comb. 6 (4)"/>
      <sheetName val="Comb. 7 (4)"/>
      <sheetName val="Comb. 8 (4)"/>
      <sheetName val="Comb. 9 (4)"/>
      <sheetName val="Comb. 10 (4)"/>
      <sheetName val="TABULATI (4)"/>
      <sheetName val="Manuale"/>
      <sheetName val="riepilogo carichi"/>
      <sheetName val="Inviluppo taglio (4)"/>
      <sheetName val="Inviluppo momento (4)"/>
      <sheetName val="DATI NASCOSTI"/>
      <sheetName val="1-Definizione Carichi"/>
      <sheetName val="Definizione Carichi (2)"/>
      <sheetName val="Definizione Carichi (3)"/>
      <sheetName val="logica e caratt (3)"/>
      <sheetName val="Definizione Carichi (4)"/>
      <sheetName val="OUTPUT SOLLECITAZIONE"/>
      <sheetName val="Comb. 1 (3)"/>
      <sheetName val="Comb. 2 (3)"/>
      <sheetName val="Comb. 3 (3)"/>
      <sheetName val="Comb. 4 (3)"/>
      <sheetName val="Comb. 5  (3)"/>
      <sheetName val="Comb. 6 (3)"/>
      <sheetName val="Comb. 7 (3)"/>
      <sheetName val="Comb. 8 (3)"/>
      <sheetName val="Comb. 9 (3)"/>
      <sheetName val="Comb. 10 (3)"/>
      <sheetName val="TABULATI (3)"/>
      <sheetName val="M TRASLATO"/>
      <sheetName val="2-Progetto Solaio"/>
      <sheetName val="INPUT SOLLEC. ARMATURE"/>
      <sheetName val="Diagramma Mrd"/>
      <sheetName val="DATI NASCOSTI ARMATURA"/>
      <sheetName val="OUTPUT PROGETTO SOLAIO"/>
      <sheetName val="Sollecitazioni SLE"/>
      <sheetName val="OUTPUT VERIFICHE SLE"/>
      <sheetName val="Verifiche COMB RARA"/>
      <sheetName val="Verifiche COMB FREQ"/>
      <sheetName val="Verifiche COMB QUAS PERM"/>
      <sheetName val="M TRASLATO (2)"/>
      <sheetName val="M TRASLATO (3)"/>
      <sheetName val="Inviluppo taglio (3)"/>
      <sheetName val="Inviluppo momento (3)"/>
      <sheetName val="logica e caratt (2)"/>
      <sheetName val="Comb. 1 (2)"/>
      <sheetName val="Comb. 2 (2)"/>
      <sheetName val="Comb. 3 (2)"/>
      <sheetName val="Comb. 4 (2)"/>
      <sheetName val="Comb. 5  (2)"/>
      <sheetName val="Comb. 6 (2)"/>
      <sheetName val="Comb. 7 (2)"/>
      <sheetName val="Comb. 8 (2)"/>
      <sheetName val="Comb. 9 (2)"/>
      <sheetName val="Comb. 10 (2)"/>
      <sheetName val="TABULATI (2)"/>
      <sheetName val="Inviluppo taglio (2)"/>
      <sheetName val="Inviluppo momento (2)"/>
      <sheetName val="M TRASLATO (4)"/>
      <sheetName val="logica e caratt"/>
      <sheetName val="Comb. 1"/>
      <sheetName val="Comb. 2"/>
      <sheetName val="Comb. 3"/>
      <sheetName val="Comb. 4"/>
      <sheetName val="Comb. 5 "/>
      <sheetName val="Comb. 6"/>
      <sheetName val="Comb. 7"/>
      <sheetName val="Comb. 8"/>
      <sheetName val="Comb. 9"/>
      <sheetName val="Comb. 10"/>
      <sheetName val="TABULATI"/>
      <sheetName val="Inviluppo taglio"/>
      <sheetName val="Inviluppo mo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5">
          <cell r="B105" t="str">
            <v>si</v>
          </cell>
          <cell r="C105">
            <v>0.2</v>
          </cell>
        </row>
        <row r="106">
          <cell r="C106">
            <v>0.3</v>
          </cell>
        </row>
        <row r="107">
          <cell r="C107">
            <v>0.4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.xml"/><Relationship Id="rId6" Type="http://schemas.openxmlformats.org/officeDocument/2006/relationships/image" Target="../media/image3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2.emf"/><Relationship Id="rId9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5"/>
  <sheetViews>
    <sheetView showGridLines="0" showRowColHeaders="0" tabSelected="1" workbookViewId="0">
      <selection activeCell="H15" sqref="H15:J15"/>
    </sheetView>
  </sheetViews>
  <sheetFormatPr defaultRowHeight="15" x14ac:dyDescent="0.25"/>
  <cols>
    <col min="1" max="1" width="2.5703125" customWidth="1"/>
  </cols>
  <sheetData>
    <row r="5" spans="2:10" ht="15.75" x14ac:dyDescent="0.25">
      <c r="B5" s="187" t="s">
        <v>271</v>
      </c>
    </row>
    <row r="6" spans="2:10" ht="15.75" x14ac:dyDescent="0.25">
      <c r="B6" s="187" t="s">
        <v>172</v>
      </c>
    </row>
    <row r="7" spans="2:10" ht="15.75" x14ac:dyDescent="0.25">
      <c r="B7" s="187" t="s">
        <v>171</v>
      </c>
    </row>
    <row r="8" spans="2:10" ht="15.75" x14ac:dyDescent="0.25">
      <c r="B8" s="187" t="s">
        <v>272</v>
      </c>
    </row>
    <row r="9" spans="2:10" ht="15.75" x14ac:dyDescent="0.25">
      <c r="B9" s="187" t="s">
        <v>173</v>
      </c>
    </row>
    <row r="10" spans="2:10" ht="15.75" x14ac:dyDescent="0.25">
      <c r="B10" s="187" t="s">
        <v>174</v>
      </c>
    </row>
    <row r="11" spans="2:10" ht="15.75" x14ac:dyDescent="0.25">
      <c r="B11" s="187" t="s">
        <v>273</v>
      </c>
    </row>
    <row r="13" spans="2:10" ht="15.75" x14ac:dyDescent="0.25">
      <c r="B13" s="352" t="s">
        <v>206</v>
      </c>
      <c r="C13" s="352"/>
      <c r="D13" s="352"/>
      <c r="H13" s="347" t="s">
        <v>175</v>
      </c>
      <c r="I13" s="347"/>
      <c r="J13" s="347"/>
    </row>
    <row r="14" spans="2:10" x14ac:dyDescent="0.25">
      <c r="B14" s="350" t="s">
        <v>202</v>
      </c>
      <c r="C14" s="351"/>
      <c r="D14" s="351"/>
    </row>
    <row r="15" spans="2:10" x14ac:dyDescent="0.25">
      <c r="H15" s="348" t="s">
        <v>202</v>
      </c>
      <c r="I15" s="349"/>
      <c r="J15" s="349"/>
    </row>
  </sheetData>
  <sheetProtection password="ABEF" sheet="1" objects="1" scenarios="1" selectLockedCells="1"/>
  <mergeCells count="4">
    <mergeCell ref="H13:J13"/>
    <mergeCell ref="H15:J15"/>
    <mergeCell ref="B14:D14"/>
    <mergeCell ref="B13:D13"/>
  </mergeCells>
  <hyperlinks>
    <hyperlink ref="H15" r:id="rId1"/>
    <hyperlink ref="B1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W86"/>
  <sheetViews>
    <sheetView showGridLines="0" showRowColHeaders="0" zoomScale="90" zoomScaleNormal="90" workbookViewId="0">
      <selection activeCell="F4" sqref="F4"/>
    </sheetView>
  </sheetViews>
  <sheetFormatPr defaultRowHeight="15" x14ac:dyDescent="0.25"/>
  <cols>
    <col min="1" max="1" width="3" customWidth="1"/>
    <col min="2" max="3" width="19.28515625" customWidth="1"/>
    <col min="4" max="6" width="17.42578125" customWidth="1"/>
    <col min="8" max="8" width="15.140625" customWidth="1"/>
    <col min="9" max="9" width="10" customWidth="1"/>
    <col min="10" max="10" width="4.85546875" customWidth="1"/>
    <col min="12" max="12" width="10.7109375" customWidth="1"/>
    <col min="13" max="13" width="9.140625" customWidth="1"/>
    <col min="14" max="14" width="4.85546875" customWidth="1"/>
    <col min="16" max="16" width="10.7109375" bestFit="1" customWidth="1"/>
  </cols>
  <sheetData>
    <row r="2" spans="2:23" x14ac:dyDescent="0.25">
      <c r="B2" s="353" t="s">
        <v>254</v>
      </c>
      <c r="C2" s="353"/>
      <c r="D2" s="39"/>
      <c r="E2" s="39"/>
      <c r="F2" s="39"/>
      <c r="G2" s="281"/>
      <c r="H2" s="39"/>
      <c r="I2" s="39"/>
      <c r="J2" s="39"/>
      <c r="K2" s="39"/>
    </row>
    <row r="3" spans="2:23" ht="15.75" thickBot="1" x14ac:dyDescent="0.3">
      <c r="B3" s="276"/>
      <c r="C3" s="276"/>
      <c r="D3" s="39"/>
      <c r="E3" s="39"/>
      <c r="F3" s="39"/>
      <c r="G3" s="281"/>
      <c r="H3" s="276"/>
      <c r="I3" s="39"/>
    </row>
    <row r="4" spans="2:23" ht="16.5" thickTop="1" thickBot="1" x14ac:dyDescent="0.3">
      <c r="B4" s="39" t="s">
        <v>34</v>
      </c>
      <c r="C4" s="39"/>
      <c r="D4" s="39"/>
      <c r="E4" s="267" t="s">
        <v>201</v>
      </c>
      <c r="F4" s="270">
        <v>400</v>
      </c>
      <c r="G4" s="297"/>
      <c r="H4" s="39"/>
      <c r="I4" s="39"/>
    </row>
    <row r="5" spans="2:23" ht="17.25" thickTop="1" thickBot="1" x14ac:dyDescent="0.3">
      <c r="B5" s="39" t="s">
        <v>253</v>
      </c>
      <c r="C5" s="39"/>
      <c r="D5" s="39"/>
      <c r="E5" s="267" t="s">
        <v>57</v>
      </c>
      <c r="F5" s="270">
        <v>700</v>
      </c>
      <c r="G5" s="295"/>
      <c r="H5" s="39"/>
      <c r="I5" s="39"/>
    </row>
    <row r="6" spans="2:23" ht="17.25" thickTop="1" thickBot="1" x14ac:dyDescent="0.3">
      <c r="B6" s="39" t="s">
        <v>270</v>
      </c>
      <c r="C6" s="39"/>
      <c r="D6" s="39"/>
      <c r="E6" s="267" t="s">
        <v>252</v>
      </c>
      <c r="F6" s="270">
        <v>44</v>
      </c>
      <c r="G6" s="295"/>
      <c r="H6" s="39"/>
      <c r="I6" s="39"/>
    </row>
    <row r="7" spans="2:23" ht="16.5" thickTop="1" x14ac:dyDescent="0.25">
      <c r="B7" s="39" t="s">
        <v>251</v>
      </c>
      <c r="C7" s="39"/>
      <c r="D7" s="39"/>
      <c r="E7" s="267" t="s">
        <v>73</v>
      </c>
      <c r="F7" s="296">
        <f>F5-F6</f>
        <v>656</v>
      </c>
      <c r="G7" s="295"/>
      <c r="H7" s="39"/>
      <c r="I7" s="39"/>
    </row>
    <row r="8" spans="2:23" ht="16.5" thickBot="1" x14ac:dyDescent="0.3">
      <c r="B8" s="39"/>
      <c r="C8" s="39"/>
      <c r="D8" s="39"/>
      <c r="E8" s="267"/>
      <c r="F8" s="268"/>
      <c r="G8" s="295"/>
      <c r="H8" s="39"/>
      <c r="I8" s="39"/>
    </row>
    <row r="9" spans="2:23" ht="17.25" thickTop="1" thickBot="1" x14ac:dyDescent="0.3">
      <c r="B9" s="39" t="s">
        <v>209</v>
      </c>
      <c r="E9" s="269" t="s">
        <v>208</v>
      </c>
      <c r="F9" s="309">
        <v>2.7</v>
      </c>
      <c r="G9" s="295"/>
      <c r="H9" s="39"/>
      <c r="I9" s="39"/>
    </row>
    <row r="10" spans="2:23" ht="15.75" thickTop="1" x14ac:dyDescent="0.25">
      <c r="B10" s="39"/>
      <c r="C10" s="39"/>
      <c r="D10" s="39"/>
      <c r="E10" s="39"/>
      <c r="F10" s="39"/>
      <c r="G10" s="39"/>
      <c r="H10" s="39"/>
      <c r="I10" s="39"/>
      <c r="Q10" s="285"/>
      <c r="R10" s="285"/>
      <c r="S10" s="285"/>
      <c r="T10" s="285"/>
      <c r="U10" s="285"/>
      <c r="V10" s="285"/>
      <c r="W10" s="285"/>
    </row>
    <row r="11" spans="2:23" x14ac:dyDescent="0.25">
      <c r="B11" s="353" t="s">
        <v>250</v>
      </c>
      <c r="C11" s="353"/>
      <c r="D11" s="39"/>
      <c r="E11" s="39"/>
      <c r="F11" s="39"/>
      <c r="G11" s="39"/>
      <c r="Q11" s="285"/>
      <c r="R11" s="285"/>
      <c r="S11" s="285"/>
      <c r="T11" s="285"/>
      <c r="U11" s="285"/>
      <c r="V11" s="285"/>
      <c r="W11" s="285"/>
    </row>
    <row r="12" spans="2:23" x14ac:dyDescent="0.25">
      <c r="B12" s="275"/>
      <c r="C12" s="275"/>
      <c r="D12" s="39"/>
      <c r="E12" s="39"/>
      <c r="F12" s="39"/>
      <c r="G12" s="39"/>
      <c r="Q12" s="285"/>
      <c r="R12" s="285"/>
      <c r="S12" s="285"/>
      <c r="T12" s="285"/>
      <c r="U12" s="285"/>
      <c r="V12" s="285"/>
      <c r="W12" s="285"/>
    </row>
    <row r="13" spans="2:23" ht="15.75" x14ac:dyDescent="0.25">
      <c r="B13" s="275" t="s">
        <v>217</v>
      </c>
      <c r="C13" s="275"/>
      <c r="D13" s="39"/>
      <c r="E13" s="39"/>
      <c r="F13" s="39"/>
      <c r="G13" s="39"/>
      <c r="Q13" s="273"/>
      <c r="R13" s="273"/>
      <c r="S13" s="285"/>
      <c r="T13" s="285"/>
      <c r="U13" s="285"/>
      <c r="V13" s="285"/>
      <c r="W13" s="285"/>
    </row>
    <row r="14" spans="2:23" ht="16.5" thickBot="1" x14ac:dyDescent="0.3">
      <c r="B14" s="275"/>
      <c r="C14" s="275"/>
      <c r="D14" s="39"/>
      <c r="E14" s="39"/>
      <c r="F14" s="39"/>
      <c r="G14" s="39"/>
      <c r="Q14" s="273"/>
      <c r="R14" s="273"/>
      <c r="S14" s="285"/>
      <c r="T14" s="285"/>
      <c r="U14" s="294"/>
      <c r="V14" s="294"/>
      <c r="W14" s="294"/>
    </row>
    <row r="15" spans="2:23" ht="17.25" thickTop="1" thickBot="1" x14ac:dyDescent="0.3">
      <c r="B15" s="39" t="s">
        <v>249</v>
      </c>
      <c r="C15" s="275"/>
      <c r="D15" s="39"/>
      <c r="E15" s="39"/>
      <c r="F15" s="274" t="s">
        <v>248</v>
      </c>
      <c r="G15" s="39"/>
      <c r="P15" s="273"/>
      <c r="Q15" s="273"/>
      <c r="R15" s="273"/>
      <c r="S15" s="285"/>
      <c r="T15" s="285"/>
      <c r="U15" s="291"/>
      <c r="V15" s="291"/>
      <c r="W15" s="291"/>
    </row>
    <row r="16" spans="2:23" ht="16.5" thickTop="1" x14ac:dyDescent="0.25">
      <c r="B16" s="39"/>
      <c r="C16" s="39"/>
      <c r="D16" s="39"/>
      <c r="E16" s="39"/>
      <c r="F16" s="39"/>
      <c r="G16" s="39"/>
      <c r="K16" s="285"/>
      <c r="L16" s="287"/>
      <c r="M16" s="293"/>
      <c r="N16" s="292"/>
      <c r="O16" s="292"/>
      <c r="P16" s="292"/>
      <c r="Q16" s="292"/>
      <c r="R16" s="292"/>
      <c r="S16" s="285"/>
      <c r="T16" s="285"/>
      <c r="U16" s="291"/>
      <c r="V16" s="291"/>
      <c r="W16" s="291"/>
    </row>
    <row r="17" spans="2:23" x14ac:dyDescent="0.25">
      <c r="B17" s="39" t="s">
        <v>247</v>
      </c>
      <c r="C17" s="39"/>
      <c r="D17" s="39"/>
      <c r="E17" s="74" t="s">
        <v>246</v>
      </c>
      <c r="F17" s="289">
        <f>VLOOKUP(F15,'foglio deposito'!G4:H14,2,FALSE)</f>
        <v>30</v>
      </c>
      <c r="G17" s="39"/>
      <c r="P17" s="287"/>
      <c r="Q17" s="287"/>
      <c r="R17" s="285"/>
      <c r="S17" s="285"/>
      <c r="T17" s="285"/>
      <c r="U17" s="285"/>
      <c r="V17" s="285"/>
      <c r="W17" s="285"/>
    </row>
    <row r="18" spans="2:23" x14ac:dyDescent="0.25">
      <c r="B18" s="39" t="s">
        <v>245</v>
      </c>
      <c r="C18" s="39"/>
      <c r="D18" s="39"/>
      <c r="E18" s="74" t="s">
        <v>244</v>
      </c>
      <c r="F18" s="289">
        <f>F19+8</f>
        <v>32.9</v>
      </c>
      <c r="G18" s="39"/>
      <c r="P18" s="287"/>
      <c r="Q18" s="287"/>
      <c r="R18" s="285"/>
      <c r="S18" s="285"/>
      <c r="T18" s="285"/>
      <c r="U18" s="285"/>
      <c r="V18" s="285"/>
      <c r="W18" s="285"/>
    </row>
    <row r="19" spans="2:23" x14ac:dyDescent="0.25">
      <c r="B19" s="39" t="s">
        <v>243</v>
      </c>
      <c r="C19" s="39"/>
      <c r="D19" s="39"/>
      <c r="E19" s="74" t="s">
        <v>242</v>
      </c>
      <c r="F19" s="289">
        <f>F17*0.83</f>
        <v>24.9</v>
      </c>
      <c r="G19" s="39"/>
      <c r="I19" s="39"/>
      <c r="P19" s="287"/>
      <c r="Q19" s="287"/>
      <c r="R19" s="285"/>
      <c r="S19" s="285"/>
      <c r="T19" s="285"/>
      <c r="U19" s="285"/>
      <c r="V19" s="285"/>
      <c r="W19" s="285"/>
    </row>
    <row r="20" spans="2:23" x14ac:dyDescent="0.25">
      <c r="B20" s="39" t="s">
        <v>241</v>
      </c>
      <c r="C20" s="39"/>
      <c r="D20" s="39"/>
      <c r="E20" s="74" t="s">
        <v>240</v>
      </c>
      <c r="F20" s="289">
        <f>(0.83*F17)/1.5</f>
        <v>16.599999999999998</v>
      </c>
      <c r="G20" s="39"/>
      <c r="I20" s="39"/>
      <c r="P20" s="287"/>
      <c r="Q20" s="287"/>
      <c r="R20" s="285"/>
      <c r="S20" s="285"/>
      <c r="T20" s="285"/>
      <c r="U20" s="285"/>
      <c r="V20" s="285"/>
      <c r="W20" s="285"/>
    </row>
    <row r="21" spans="2:23" x14ac:dyDescent="0.25">
      <c r="B21" s="39" t="s">
        <v>239</v>
      </c>
      <c r="C21" s="39"/>
      <c r="D21" s="39"/>
      <c r="E21" s="290" t="s">
        <v>238</v>
      </c>
      <c r="F21" s="289">
        <f>0.3*F19^(2/3)</f>
        <v>2.5581194481669618</v>
      </c>
      <c r="G21" s="39"/>
      <c r="H21" s="39"/>
      <c r="I21" s="39"/>
      <c r="P21" s="287"/>
      <c r="Q21" s="287"/>
      <c r="R21" s="285"/>
      <c r="S21" s="285"/>
      <c r="T21" s="285"/>
      <c r="U21" s="285"/>
      <c r="V21" s="285"/>
      <c r="W21" s="285"/>
    </row>
    <row r="22" spans="2:23" x14ac:dyDescent="0.25">
      <c r="B22" s="39" t="s">
        <v>237</v>
      </c>
      <c r="C22" s="39"/>
      <c r="D22" s="39"/>
      <c r="E22" s="74" t="s">
        <v>236</v>
      </c>
      <c r="F22" s="289">
        <f>0.7*F21</f>
        <v>1.7906836137168731</v>
      </c>
      <c r="G22" s="39"/>
      <c r="H22" s="39"/>
      <c r="I22" s="39"/>
      <c r="P22" s="287"/>
      <c r="Q22" s="287"/>
      <c r="R22" s="285"/>
      <c r="S22" s="285"/>
      <c r="T22" s="285"/>
      <c r="U22" s="285"/>
      <c r="V22" s="285"/>
      <c r="W22" s="285"/>
    </row>
    <row r="23" spans="2:23" x14ac:dyDescent="0.25">
      <c r="B23" s="39" t="s">
        <v>235</v>
      </c>
      <c r="C23" s="39"/>
      <c r="D23" s="39"/>
      <c r="E23" s="74" t="s">
        <v>234</v>
      </c>
      <c r="F23" s="289">
        <f>F22/1.5</f>
        <v>1.1937890758112488</v>
      </c>
      <c r="G23" s="39"/>
      <c r="H23" s="39"/>
      <c r="I23" s="39"/>
      <c r="P23" s="287"/>
      <c r="Q23" s="287"/>
      <c r="R23" s="285"/>
      <c r="S23" s="285"/>
      <c r="T23" s="285"/>
      <c r="U23" s="285"/>
      <c r="V23" s="285"/>
      <c r="W23" s="285"/>
    </row>
    <row r="24" spans="2:23" x14ac:dyDescent="0.25">
      <c r="B24" s="39" t="s">
        <v>233</v>
      </c>
      <c r="C24" s="39"/>
      <c r="D24" s="39"/>
      <c r="E24" s="74" t="s">
        <v>232</v>
      </c>
      <c r="F24" s="289">
        <f>(2.25*F22)/1.5</f>
        <v>2.68602542057531</v>
      </c>
      <c r="G24" s="39"/>
      <c r="H24" s="39"/>
      <c r="I24" s="39"/>
      <c r="P24" s="287"/>
      <c r="Q24" s="287"/>
      <c r="R24" s="285"/>
      <c r="S24" s="285"/>
      <c r="T24" s="285"/>
      <c r="U24" s="285"/>
      <c r="V24" s="285"/>
      <c r="W24" s="285"/>
    </row>
    <row r="25" spans="2:23" x14ac:dyDescent="0.25">
      <c r="B25" s="39" t="s">
        <v>220</v>
      </c>
      <c r="C25" s="39"/>
      <c r="D25" s="39"/>
      <c r="E25" s="74" t="s">
        <v>219</v>
      </c>
      <c r="F25" s="288">
        <f>22000*((0.83*F17+8)/10)^0.3</f>
        <v>31447.161439943484</v>
      </c>
      <c r="G25" s="39"/>
      <c r="H25" s="39"/>
      <c r="I25" s="39"/>
      <c r="P25" s="287"/>
      <c r="Q25" s="287"/>
      <c r="R25" s="285"/>
      <c r="S25" s="285"/>
      <c r="T25" s="285"/>
      <c r="U25" s="285"/>
      <c r="V25" s="285"/>
      <c r="W25" s="285"/>
    </row>
    <row r="26" spans="2:23" x14ac:dyDescent="0.25">
      <c r="B26" s="39" t="s">
        <v>231</v>
      </c>
      <c r="C26" s="39"/>
      <c r="D26" s="39"/>
      <c r="E26" s="39"/>
      <c r="F26" s="272"/>
      <c r="G26" s="39"/>
      <c r="H26" s="39"/>
      <c r="I26" s="39"/>
      <c r="P26" s="287"/>
      <c r="Q26" s="287"/>
      <c r="R26" s="285"/>
      <c r="S26" s="285"/>
      <c r="T26" s="285"/>
      <c r="U26" s="285"/>
      <c r="V26" s="285"/>
      <c r="W26" s="285"/>
    </row>
    <row r="27" spans="2:23" x14ac:dyDescent="0.25">
      <c r="B27" s="39" t="s">
        <v>230</v>
      </c>
      <c r="C27" s="39"/>
      <c r="D27" s="39"/>
      <c r="E27" s="286" t="s">
        <v>229</v>
      </c>
      <c r="F27" s="178">
        <v>0.85</v>
      </c>
      <c r="G27" s="39"/>
      <c r="H27" s="39"/>
      <c r="I27" s="39"/>
      <c r="P27" s="285"/>
      <c r="Q27" s="285"/>
      <c r="R27" s="285"/>
      <c r="S27" s="285"/>
      <c r="T27" s="285"/>
      <c r="U27" s="285"/>
      <c r="V27" s="285"/>
      <c r="W27" s="285"/>
    </row>
    <row r="28" spans="2:23" x14ac:dyDescent="0.25">
      <c r="B28" s="39"/>
      <c r="C28" s="39"/>
      <c r="D28" s="39"/>
      <c r="E28" s="39"/>
      <c r="F28" s="39"/>
      <c r="G28" s="39"/>
      <c r="H28" s="39"/>
      <c r="I28" s="39"/>
      <c r="P28" s="285"/>
      <c r="Q28" s="285"/>
      <c r="R28" s="285"/>
      <c r="S28" s="285"/>
      <c r="T28" s="285"/>
      <c r="U28" s="285"/>
      <c r="V28" s="285"/>
      <c r="W28" s="285"/>
    </row>
    <row r="29" spans="2:23" x14ac:dyDescent="0.25">
      <c r="B29" s="275" t="s">
        <v>212</v>
      </c>
      <c r="C29" s="39"/>
      <c r="D29" s="39"/>
      <c r="E29" s="39"/>
      <c r="F29" s="39"/>
      <c r="G29" s="39"/>
      <c r="P29" s="285"/>
      <c r="Q29" s="285"/>
      <c r="R29" s="285"/>
      <c r="S29" s="285"/>
      <c r="T29" s="285"/>
      <c r="U29" s="285"/>
      <c r="V29" s="285"/>
      <c r="W29" s="285"/>
    </row>
    <row r="30" spans="2:23" ht="15.75" thickBot="1" x14ac:dyDescent="0.3">
      <c r="B30" s="39"/>
      <c r="C30" s="39"/>
      <c r="D30" s="39"/>
      <c r="E30" s="39"/>
      <c r="F30" s="39"/>
      <c r="G30" s="39"/>
    </row>
    <row r="31" spans="2:23" ht="16.5" thickTop="1" thickBot="1" x14ac:dyDescent="0.3">
      <c r="B31" s="39" t="s">
        <v>228</v>
      </c>
      <c r="C31" s="39"/>
      <c r="D31" s="39"/>
      <c r="E31" s="39"/>
      <c r="F31" s="274" t="s">
        <v>227</v>
      </c>
      <c r="G31" s="39"/>
    </row>
    <row r="32" spans="2:23" ht="15.75" thickTop="1" x14ac:dyDescent="0.25">
      <c r="B32" s="39"/>
      <c r="C32" s="39"/>
      <c r="D32" s="39"/>
      <c r="E32" s="39"/>
      <c r="F32" s="266"/>
      <c r="G32" s="39"/>
    </row>
    <row r="33" spans="2:11" x14ac:dyDescent="0.25">
      <c r="B33" s="39" t="s">
        <v>226</v>
      </c>
      <c r="C33" s="39"/>
      <c r="D33" s="39"/>
      <c r="E33" s="74" t="s">
        <v>225</v>
      </c>
      <c r="F33" s="284">
        <f>(VLOOKUP(F31,'foglio deposito'!J4:L5,3,FALSE))</f>
        <v>540</v>
      </c>
      <c r="G33" s="39"/>
    </row>
    <row r="34" spans="2:11" x14ac:dyDescent="0.25">
      <c r="B34" s="39" t="s">
        <v>224</v>
      </c>
      <c r="C34" s="56"/>
      <c r="D34" s="272"/>
      <c r="E34" s="74" t="s">
        <v>223</v>
      </c>
      <c r="F34" s="284">
        <f>(VLOOKUP(F31,'foglio deposito'!J4:K5,2,FALSE))</f>
        <v>450</v>
      </c>
      <c r="G34" s="39"/>
    </row>
    <row r="35" spans="2:11" x14ac:dyDescent="0.25">
      <c r="B35" s="39" t="s">
        <v>222</v>
      </c>
      <c r="C35" s="39"/>
      <c r="D35" s="39"/>
      <c r="E35" s="74" t="s">
        <v>221</v>
      </c>
      <c r="F35" s="284">
        <f>(VLOOKUP(F31,'foglio deposito'!J4:K5,2,FALSE)/1.15)</f>
        <v>391.304347826087</v>
      </c>
      <c r="G35" s="39"/>
    </row>
    <row r="36" spans="2:11" x14ac:dyDescent="0.25">
      <c r="B36" s="39" t="s">
        <v>220</v>
      </c>
      <c r="C36" s="39"/>
      <c r="D36" s="39"/>
      <c r="E36" s="74" t="s">
        <v>219</v>
      </c>
      <c r="F36" s="283">
        <v>206000</v>
      </c>
      <c r="G36" s="39"/>
    </row>
    <row r="37" spans="2:11" x14ac:dyDescent="0.25">
      <c r="B37" s="39"/>
      <c r="C37" s="56"/>
      <c r="D37" s="272"/>
      <c r="E37" s="39"/>
      <c r="F37" s="39"/>
      <c r="G37" s="39"/>
      <c r="H37" s="39"/>
      <c r="I37" s="39"/>
      <c r="J37" s="39"/>
      <c r="K37" s="39"/>
    </row>
    <row r="38" spans="2:11" x14ac:dyDescent="0.25">
      <c r="B38" s="39"/>
      <c r="C38" s="56"/>
      <c r="D38" s="272"/>
      <c r="E38" s="39"/>
      <c r="F38" s="39"/>
      <c r="G38" s="39"/>
      <c r="H38" s="39"/>
      <c r="I38" s="39"/>
      <c r="J38" s="39"/>
      <c r="K38" s="39"/>
    </row>
    <row r="39" spans="2:11" x14ac:dyDescent="0.25">
      <c r="B39" s="282" t="s">
        <v>218</v>
      </c>
      <c r="C39" s="281"/>
      <c r="D39" s="39"/>
      <c r="E39" s="39"/>
      <c r="F39" s="39"/>
      <c r="G39" s="39"/>
      <c r="I39" s="39"/>
      <c r="J39" s="39"/>
      <c r="K39" s="39"/>
    </row>
    <row r="40" spans="2:11" x14ac:dyDescent="0.25">
      <c r="B40" s="281"/>
      <c r="C40" s="281"/>
      <c r="D40" s="39"/>
      <c r="E40" s="39"/>
      <c r="F40" s="39"/>
      <c r="G40" s="39"/>
      <c r="I40" s="39"/>
      <c r="J40" s="39"/>
      <c r="K40" s="39"/>
    </row>
    <row r="41" spans="2:11" x14ac:dyDescent="0.25">
      <c r="B41" s="275" t="s">
        <v>217</v>
      </c>
      <c r="C41" s="39"/>
      <c r="D41" s="39"/>
      <c r="E41" s="271"/>
      <c r="F41" s="280"/>
      <c r="G41" s="39"/>
      <c r="I41" s="39"/>
      <c r="J41" s="39"/>
      <c r="K41" s="39"/>
    </row>
    <row r="42" spans="2:11" x14ac:dyDescent="0.25">
      <c r="B42" s="39"/>
      <c r="C42" s="39"/>
      <c r="D42" s="39"/>
      <c r="E42" s="39"/>
      <c r="F42" s="39"/>
      <c r="G42" s="39"/>
      <c r="I42" s="39"/>
      <c r="J42" s="39"/>
      <c r="K42" s="39"/>
    </row>
    <row r="43" spans="2:11" x14ac:dyDescent="0.25">
      <c r="B43" s="39" t="s">
        <v>216</v>
      </c>
      <c r="C43" s="39"/>
      <c r="D43" s="39"/>
      <c r="E43" s="271" t="s">
        <v>76</v>
      </c>
      <c r="F43" s="279">
        <v>-2</v>
      </c>
      <c r="I43" s="39"/>
      <c r="J43" s="39"/>
    </row>
    <row r="44" spans="2:11" ht="15.75" x14ac:dyDescent="0.25">
      <c r="B44" s="39" t="s">
        <v>215</v>
      </c>
      <c r="C44" s="39"/>
      <c r="D44" s="39"/>
      <c r="E44" s="277" t="s">
        <v>70</v>
      </c>
      <c r="F44" s="298">
        <v>-3.5</v>
      </c>
    </row>
    <row r="45" spans="2:11" ht="15.75" x14ac:dyDescent="0.25">
      <c r="B45" s="39" t="s">
        <v>214</v>
      </c>
      <c r="C45" s="39"/>
      <c r="D45" s="39"/>
      <c r="E45" s="277" t="s">
        <v>213</v>
      </c>
      <c r="F45" s="279">
        <v>0</v>
      </c>
    </row>
    <row r="47" spans="2:11" x14ac:dyDescent="0.25">
      <c r="B47" s="275" t="s">
        <v>212</v>
      </c>
      <c r="C47" s="39"/>
      <c r="D47" s="39"/>
      <c r="E47" s="39"/>
      <c r="F47" s="39"/>
      <c r="G47" s="39"/>
    </row>
    <row r="48" spans="2:11" x14ac:dyDescent="0.25">
      <c r="B48" s="39"/>
      <c r="C48" s="39"/>
      <c r="D48" s="39"/>
      <c r="E48" s="39"/>
      <c r="F48" s="39"/>
      <c r="G48" s="39"/>
    </row>
    <row r="49" spans="2:13" ht="15.75" x14ac:dyDescent="0.25">
      <c r="B49" s="39" t="s">
        <v>211</v>
      </c>
      <c r="C49" s="39"/>
      <c r="D49" s="39"/>
      <c r="E49" s="277" t="s">
        <v>66</v>
      </c>
      <c r="F49" s="298">
        <v>1.87</v>
      </c>
      <c r="I49" s="39"/>
      <c r="J49" s="39"/>
      <c r="K49" s="39"/>
    </row>
    <row r="50" spans="2:13" ht="15.75" x14ac:dyDescent="0.25">
      <c r="B50" s="39" t="s">
        <v>210</v>
      </c>
      <c r="C50" s="39"/>
      <c r="D50" s="39"/>
      <c r="E50" s="277" t="s">
        <v>61</v>
      </c>
      <c r="F50" s="319">
        <v>67.5</v>
      </c>
      <c r="I50" s="39"/>
      <c r="J50" s="39"/>
      <c r="K50" s="39"/>
    </row>
    <row r="53" spans="2:13" x14ac:dyDescent="0.25">
      <c r="B53" s="353" t="s">
        <v>279</v>
      </c>
      <c r="C53" s="353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5.75" thickBot="1" x14ac:dyDescent="0.3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3" ht="16.5" thickTop="1" thickBot="1" x14ac:dyDescent="0.3">
      <c r="B55" s="354" t="s">
        <v>255</v>
      </c>
      <c r="C55" s="355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13" ht="15.75" thickTop="1" x14ac:dyDescent="0.2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2:13" ht="21.75" x14ac:dyDescent="0.25">
      <c r="B57" s="320" t="s">
        <v>145</v>
      </c>
      <c r="C57" s="320" t="s">
        <v>146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2:13" x14ac:dyDescent="0.25">
      <c r="B58" s="321">
        <v>1.1000000000000001</v>
      </c>
      <c r="C58" s="321">
        <v>1.3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2:13" x14ac:dyDescent="0.2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2:13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2:13" x14ac:dyDescent="0.25">
      <c r="B61" s="353" t="s">
        <v>280</v>
      </c>
      <c r="C61" s="353"/>
      <c r="F61" s="39"/>
      <c r="G61" s="39"/>
      <c r="H61" s="39"/>
      <c r="I61" s="39"/>
      <c r="J61" s="39"/>
      <c r="K61" s="39"/>
      <c r="L61" s="39"/>
      <c r="M61" s="39"/>
    </row>
    <row r="62" spans="2:13" x14ac:dyDescent="0.25">
      <c r="B62" s="308"/>
      <c r="C62" s="308"/>
      <c r="F62" s="39"/>
      <c r="G62" s="39"/>
      <c r="H62" s="39"/>
      <c r="I62" s="39"/>
      <c r="J62" s="39"/>
      <c r="K62" s="39"/>
      <c r="L62" s="39"/>
      <c r="M62" s="39"/>
    </row>
    <row r="63" spans="2:13" x14ac:dyDescent="0.25">
      <c r="B63" s="34" t="s">
        <v>284</v>
      </c>
      <c r="F63" s="39"/>
      <c r="G63" s="39"/>
      <c r="H63" s="39"/>
      <c r="I63" s="39"/>
      <c r="J63" s="39"/>
      <c r="K63" s="39"/>
      <c r="L63" s="39"/>
      <c r="M63" s="39"/>
    </row>
    <row r="64" spans="2:13" x14ac:dyDescent="0.25">
      <c r="F64" s="39"/>
      <c r="G64" s="39"/>
      <c r="H64" s="39"/>
      <c r="I64" s="39"/>
      <c r="J64" s="39"/>
      <c r="K64" s="39"/>
      <c r="L64" s="39"/>
      <c r="M64" s="39"/>
    </row>
    <row r="65" spans="2:13" ht="15.75" thickBot="1" x14ac:dyDescent="0.3">
      <c r="B65" s="5"/>
      <c r="C65" s="322" t="s">
        <v>189</v>
      </c>
      <c r="D65" s="322" t="s">
        <v>190</v>
      </c>
      <c r="E65" s="322" t="s">
        <v>191</v>
      </c>
      <c r="F65" s="39"/>
      <c r="G65" s="39"/>
      <c r="H65" s="39"/>
      <c r="I65" s="39"/>
      <c r="J65" s="39"/>
      <c r="K65" s="39"/>
      <c r="L65" s="39"/>
      <c r="M65" s="39"/>
    </row>
    <row r="66" spans="2:13" ht="16.5" thickTop="1" thickBot="1" x14ac:dyDescent="0.3">
      <c r="B66" s="323" t="s">
        <v>34</v>
      </c>
      <c r="C66" s="325">
        <v>480</v>
      </c>
      <c r="D66" s="325">
        <v>74</v>
      </c>
      <c r="E66" s="325">
        <v>1706</v>
      </c>
      <c r="F66" s="39"/>
      <c r="G66" s="39"/>
      <c r="H66" s="39"/>
      <c r="I66" s="39"/>
      <c r="J66" s="39"/>
      <c r="K66" s="39"/>
      <c r="L66" s="39"/>
      <c r="M66" s="39"/>
    </row>
    <row r="67" spans="2:13" ht="16.5" thickTop="1" thickBot="1" x14ac:dyDescent="0.3">
      <c r="B67" s="324" t="s">
        <v>42</v>
      </c>
      <c r="C67" s="325">
        <v>352</v>
      </c>
      <c r="D67" s="325">
        <v>70</v>
      </c>
      <c r="E67" s="325">
        <v>1690</v>
      </c>
      <c r="F67" s="39"/>
      <c r="G67" s="39"/>
      <c r="H67" s="39"/>
      <c r="I67" s="39"/>
      <c r="J67" s="39"/>
      <c r="K67" s="39"/>
      <c r="L67" s="39"/>
      <c r="M67" s="39"/>
    </row>
    <row r="68" spans="2:13" ht="15.75" thickTop="1" x14ac:dyDescent="0.25">
      <c r="F68" s="39"/>
      <c r="G68" s="39"/>
      <c r="H68" s="39"/>
      <c r="I68" s="39"/>
      <c r="J68" s="39"/>
      <c r="K68" s="39"/>
      <c r="L68" s="39"/>
      <c r="M68" s="39"/>
    </row>
    <row r="69" spans="2:13" x14ac:dyDescent="0.25">
      <c r="I69" s="39"/>
      <c r="J69" s="39"/>
      <c r="K69" s="39"/>
      <c r="L69" s="39"/>
      <c r="M69" s="39"/>
    </row>
    <row r="70" spans="2:13" x14ac:dyDescent="0.25">
      <c r="B70" s="353" t="s">
        <v>282</v>
      </c>
      <c r="C70" s="353"/>
      <c r="I70" s="39"/>
      <c r="J70" s="39"/>
      <c r="K70" s="39"/>
      <c r="L70" s="39"/>
      <c r="M70" s="39"/>
    </row>
    <row r="71" spans="2:13" x14ac:dyDescent="0.25">
      <c r="I71" s="39"/>
      <c r="J71" s="39"/>
      <c r="K71" s="39"/>
      <c r="L71" s="39"/>
      <c r="M71" s="39"/>
    </row>
    <row r="72" spans="2:13" x14ac:dyDescent="0.25">
      <c r="B72" t="s">
        <v>283</v>
      </c>
      <c r="G72" s="39"/>
      <c r="H72" s="39"/>
      <c r="I72" s="39"/>
      <c r="J72" s="39"/>
      <c r="K72" s="39"/>
      <c r="L72" s="39"/>
      <c r="M72" s="39"/>
    </row>
    <row r="73" spans="2:13" x14ac:dyDescent="0.25">
      <c r="B73" t="s">
        <v>276</v>
      </c>
      <c r="G73" s="39"/>
      <c r="H73" s="39"/>
      <c r="I73" s="39"/>
      <c r="J73" s="39"/>
      <c r="K73" s="39"/>
      <c r="L73" s="39"/>
      <c r="M73" s="39"/>
    </row>
    <row r="74" spans="2:13" ht="15.75" thickBot="1" x14ac:dyDescent="0.3">
      <c r="G74" s="39"/>
      <c r="H74" s="39"/>
      <c r="I74" s="39"/>
      <c r="J74" s="39"/>
      <c r="K74" s="39"/>
      <c r="L74" s="39"/>
      <c r="M74" s="39"/>
    </row>
    <row r="75" spans="2:13" ht="16.5" thickTop="1" thickBot="1" x14ac:dyDescent="0.3">
      <c r="B75" s="354" t="s">
        <v>277</v>
      </c>
      <c r="C75" s="355"/>
      <c r="G75" s="39"/>
      <c r="H75" s="39"/>
      <c r="I75" s="39"/>
      <c r="J75" s="39"/>
      <c r="K75" s="39"/>
      <c r="L75" s="39"/>
      <c r="M75" s="39"/>
    </row>
    <row r="76" spans="2:13" ht="15.75" thickTop="1" x14ac:dyDescent="0.25">
      <c r="G76" s="39"/>
      <c r="H76" s="39"/>
      <c r="I76" s="39"/>
      <c r="J76" s="39"/>
      <c r="K76" s="39"/>
      <c r="L76" s="39"/>
      <c r="M76" s="39"/>
    </row>
    <row r="77" spans="2:13" x14ac:dyDescent="0.25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2:13" x14ac:dyDescent="0.25"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2:13" x14ac:dyDescent="0.25">
      <c r="G79" s="39"/>
      <c r="H79" s="39"/>
      <c r="I79" s="39"/>
      <c r="J79" s="39"/>
      <c r="K79" s="39"/>
      <c r="L79" s="39"/>
      <c r="M79" s="39"/>
    </row>
    <row r="80" spans="2:13" x14ac:dyDescent="0.25">
      <c r="G80" s="39"/>
      <c r="H80" s="39"/>
      <c r="I80" s="39"/>
      <c r="J80" s="39"/>
      <c r="K80" s="39"/>
      <c r="L80" s="39"/>
      <c r="M80" s="39"/>
    </row>
    <row r="81" spans="2:13" x14ac:dyDescent="0.25">
      <c r="G81" s="39"/>
      <c r="H81" s="39"/>
      <c r="I81" s="39"/>
      <c r="J81" s="39"/>
      <c r="K81" s="39"/>
      <c r="L81" s="39"/>
      <c r="M81" s="39"/>
    </row>
    <row r="82" spans="2:13" x14ac:dyDescent="0.25">
      <c r="D82" s="39"/>
      <c r="E82" s="39"/>
      <c r="F82" s="39"/>
    </row>
    <row r="83" spans="2:13" x14ac:dyDescent="0.25">
      <c r="B83" s="39"/>
      <c r="C83" s="39"/>
      <c r="D83" s="39"/>
      <c r="E83" s="39"/>
      <c r="F83" s="39"/>
    </row>
    <row r="84" spans="2:13" x14ac:dyDescent="0.25">
      <c r="F84" s="39"/>
    </row>
    <row r="85" spans="2:13" x14ac:dyDescent="0.25">
      <c r="F85" s="39"/>
    </row>
    <row r="86" spans="2:13" ht="18.75" x14ac:dyDescent="0.25">
      <c r="E86" s="38" t="str">
        <f>IF('foglio deposito'!L26="G","",IF('foglio deposito'!L26="N","","ERROR!!"))</f>
        <v/>
      </c>
      <c r="F86" s="39"/>
    </row>
  </sheetData>
  <sheetProtection password="ABEF" sheet="1" objects="1" scenarios="1" selectLockedCells="1"/>
  <protectedRanges>
    <protectedRange sqref="C66:E67" name="Intervallo1"/>
  </protectedRanges>
  <mergeCells count="7">
    <mergeCell ref="B2:C2"/>
    <mergeCell ref="B11:C11"/>
    <mergeCell ref="B61:C61"/>
    <mergeCell ref="B75:C75"/>
    <mergeCell ref="B70:C70"/>
    <mergeCell ref="B53:C53"/>
    <mergeCell ref="B55:C55"/>
  </mergeCells>
  <conditionalFormatting sqref="O16">
    <cfRule type="cellIs" dxfId="6" priority="1" operator="equal">
      <formula>"verificato"</formula>
    </cfRule>
  </conditionalFormatting>
  <dataValidations count="4">
    <dataValidation type="list" allowBlank="1" showInputMessage="1" showErrorMessage="1" sqref="B55">
      <formula1>dut</formula1>
    </dataValidation>
    <dataValidation type="list" allowBlank="1" showInputMessage="1" showErrorMessage="1" sqref="F15">
      <formula1>clas</formula1>
    </dataValidation>
    <dataValidation type="list" allowBlank="1" showInputMessage="1" showErrorMessage="1" sqref="F31">
      <formula1>fer</formula1>
    </dataValidation>
    <dataValidation type="list" allowBlank="1" showInputMessage="1" showErrorMessage="1" sqref="B75:C75">
      <formula1>gn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75"/>
  <sheetViews>
    <sheetView workbookViewId="0">
      <selection activeCell="B13" sqref="B13:B14"/>
    </sheetView>
  </sheetViews>
  <sheetFormatPr defaultRowHeight="15" x14ac:dyDescent="0.25"/>
  <cols>
    <col min="5" max="5" width="5.140625" customWidth="1"/>
    <col min="15" max="15" width="3.28515625" customWidth="1"/>
    <col min="24" max="24" width="4.140625" customWidth="1"/>
  </cols>
  <sheetData>
    <row r="1" spans="2:32" x14ac:dyDescent="0.25">
      <c r="G1" s="356" t="s">
        <v>197</v>
      </c>
      <c r="H1" s="356"/>
      <c r="I1" s="356"/>
      <c r="J1" s="356"/>
      <c r="K1" s="356"/>
      <c r="L1" s="356"/>
      <c r="M1" s="356"/>
      <c r="N1" s="356"/>
      <c r="P1" s="356" t="s">
        <v>198</v>
      </c>
      <c r="Q1" s="356"/>
      <c r="R1" s="356"/>
      <c r="S1" s="356"/>
      <c r="T1" s="356"/>
      <c r="U1" s="356"/>
      <c r="V1" s="356"/>
      <c r="W1" s="356"/>
      <c r="Y1" s="356" t="s">
        <v>199</v>
      </c>
      <c r="Z1" s="356"/>
      <c r="AA1" s="356"/>
      <c r="AB1" s="356"/>
      <c r="AC1" s="356"/>
      <c r="AD1" s="356"/>
      <c r="AE1" s="356"/>
      <c r="AF1" s="356"/>
    </row>
    <row r="2" spans="2:32" ht="15.75" x14ac:dyDescent="0.25">
      <c r="G2" s="357" t="s">
        <v>193</v>
      </c>
      <c r="H2" s="357"/>
      <c r="I2" s="357" t="s">
        <v>194</v>
      </c>
      <c r="J2" s="357"/>
      <c r="K2" s="357" t="s">
        <v>195</v>
      </c>
      <c r="L2" s="357"/>
      <c r="M2" s="357" t="s">
        <v>196</v>
      </c>
      <c r="N2" s="357"/>
      <c r="P2" s="357" t="s">
        <v>193</v>
      </c>
      <c r="Q2" s="357"/>
      <c r="R2" s="357" t="s">
        <v>194</v>
      </c>
      <c r="S2" s="357"/>
      <c r="T2" s="357" t="s">
        <v>195</v>
      </c>
      <c r="U2" s="357"/>
      <c r="V2" s="357" t="s">
        <v>196</v>
      </c>
      <c r="W2" s="357"/>
      <c r="Y2" s="357" t="s">
        <v>193</v>
      </c>
      <c r="Z2" s="357"/>
      <c r="AA2" s="357" t="s">
        <v>194</v>
      </c>
      <c r="AB2" s="357"/>
      <c r="AC2" s="357" t="s">
        <v>195</v>
      </c>
      <c r="AD2" s="357"/>
      <c r="AE2" s="357" t="s">
        <v>196</v>
      </c>
      <c r="AF2" s="357"/>
    </row>
    <row r="3" spans="2:32" x14ac:dyDescent="0.25">
      <c r="G3" s="229" t="s">
        <v>192</v>
      </c>
      <c r="H3" s="229" t="s">
        <v>23</v>
      </c>
      <c r="I3" s="229" t="s">
        <v>192</v>
      </c>
      <c r="J3" s="229" t="s">
        <v>23</v>
      </c>
      <c r="K3" s="229" t="s">
        <v>192</v>
      </c>
      <c r="L3" s="229" t="s">
        <v>23</v>
      </c>
      <c r="M3" s="229" t="s">
        <v>192</v>
      </c>
      <c r="N3" s="229" t="s">
        <v>23</v>
      </c>
      <c r="P3" s="229" t="s">
        <v>192</v>
      </c>
      <c r="Q3" s="229" t="s">
        <v>23</v>
      </c>
      <c r="R3" s="229" t="s">
        <v>192</v>
      </c>
      <c r="S3" s="229" t="s">
        <v>23</v>
      </c>
      <c r="T3" s="229" t="s">
        <v>192</v>
      </c>
      <c r="U3" s="229" t="s">
        <v>23</v>
      </c>
      <c r="V3" s="229" t="s">
        <v>192</v>
      </c>
      <c r="W3" s="229" t="s">
        <v>23</v>
      </c>
      <c r="Y3" s="229" t="s">
        <v>192</v>
      </c>
      <c r="Z3" s="229" t="s">
        <v>23</v>
      </c>
      <c r="AA3" s="229" t="s">
        <v>192</v>
      </c>
      <c r="AB3" s="229" t="s">
        <v>23</v>
      </c>
      <c r="AC3" s="229" t="s">
        <v>192</v>
      </c>
      <c r="AD3" s="229" t="s">
        <v>23</v>
      </c>
      <c r="AE3" s="229" t="s">
        <v>192</v>
      </c>
      <c r="AF3" s="229" t="s">
        <v>23</v>
      </c>
    </row>
    <row r="4" spans="2:32" x14ac:dyDescent="0.25">
      <c r="B4" s="189">
        <f>-'Verifica a Pressoflessione'!K6</f>
        <v>-815.41857421086854</v>
      </c>
      <c r="C4">
        <v>0</v>
      </c>
      <c r="D4">
        <f>-C4</f>
        <v>0</v>
      </c>
      <c r="F4">
        <v>0</v>
      </c>
      <c r="G4" s="235">
        <f>IF($B$8="G",F4/$F$175*$B$6,0)</f>
        <v>0</v>
      </c>
      <c r="H4" s="235">
        <f>$C$5*(1-(G4/$B$6)^1.5)^(1/1.5)</f>
        <v>362.10150745940484</v>
      </c>
      <c r="I4" s="235">
        <f>-G4</f>
        <v>0</v>
      </c>
      <c r="J4" s="235">
        <f>H4</f>
        <v>362.10150745940484</v>
      </c>
      <c r="K4" s="235">
        <f>-G4</f>
        <v>0</v>
      </c>
      <c r="L4" s="235">
        <f>-H4</f>
        <v>-362.10150745940484</v>
      </c>
      <c r="M4" s="235">
        <f>G4</f>
        <v>0</v>
      </c>
      <c r="N4" s="235">
        <f>-H4</f>
        <v>-362.10150745940484</v>
      </c>
      <c r="P4" s="235">
        <f>IF($B$8="N",F4/$F$175*$B$6,0)</f>
        <v>0</v>
      </c>
      <c r="Q4" s="235">
        <f>$C$5*(1-(P4/$B$6)^1)^(1)</f>
        <v>362.10150745940484</v>
      </c>
      <c r="R4" s="235">
        <f>-P4</f>
        <v>0</v>
      </c>
      <c r="S4" s="235">
        <f>Q4</f>
        <v>362.10150745940484</v>
      </c>
      <c r="T4" s="235">
        <f>-P4</f>
        <v>0</v>
      </c>
      <c r="U4" s="235">
        <f>-Q4</f>
        <v>-362.10150745940484</v>
      </c>
      <c r="V4" s="235">
        <f>P4</f>
        <v>0</v>
      </c>
      <c r="W4" s="235">
        <f>-Q4</f>
        <v>-362.10150745940484</v>
      </c>
      <c r="X4" s="3"/>
      <c r="Y4" s="235">
        <f>F4/$F$175*$B$6</f>
        <v>0</v>
      </c>
      <c r="Z4" s="235">
        <f>$C$5*(1-(Y4/$B$6)^2)^(1/2)</f>
        <v>362.10150745940484</v>
      </c>
      <c r="AA4" s="235">
        <f>-Y4</f>
        <v>0</v>
      </c>
      <c r="AB4" s="235">
        <f>Z4</f>
        <v>362.10150745940484</v>
      </c>
      <c r="AC4" s="235">
        <f>-Y4</f>
        <v>0</v>
      </c>
      <c r="AD4" s="235">
        <f>-Z4</f>
        <v>-362.10150745940484</v>
      </c>
      <c r="AE4" s="235">
        <f>Y4</f>
        <v>0</v>
      </c>
      <c r="AF4" s="235">
        <f>-Z4</f>
        <v>-362.10150745940484</v>
      </c>
    </row>
    <row r="5" spans="2:32" x14ac:dyDescent="0.25">
      <c r="B5">
        <v>0</v>
      </c>
      <c r="C5" s="189">
        <f>'Verifica a Pressoflessione'!K7</f>
        <v>362.10150745940484</v>
      </c>
      <c r="D5">
        <f>-C5</f>
        <v>-362.10150745940484</v>
      </c>
      <c r="F5">
        <f>F4+1</f>
        <v>1</v>
      </c>
      <c r="G5" s="235">
        <f t="shared" ref="G5:G68" si="0">IF($B$8="G",F5/$F$175*$B$6,0)</f>
        <v>4.7685296737477687</v>
      </c>
      <c r="H5" s="235">
        <f t="shared" ref="H5:H68" si="1">$C$5*(1-(G5/$B$6)^1.5)^(1/1.5)</f>
        <v>361.993543877891</v>
      </c>
      <c r="I5" s="235">
        <f t="shared" ref="I5:I68" si="2">-G5</f>
        <v>-4.7685296737477687</v>
      </c>
      <c r="J5" s="235">
        <f t="shared" ref="J5:J68" si="3">H5</f>
        <v>361.993543877891</v>
      </c>
      <c r="K5" s="235">
        <f t="shared" ref="K5:K68" si="4">-G5</f>
        <v>-4.7685296737477687</v>
      </c>
      <c r="L5" s="235">
        <f t="shared" ref="L5:L68" si="5">-H5</f>
        <v>-361.993543877891</v>
      </c>
      <c r="M5" s="235">
        <f t="shared" ref="M5:M68" si="6">G5</f>
        <v>4.7685296737477687</v>
      </c>
      <c r="N5" s="235">
        <f t="shared" ref="N5:N68" si="7">-H5</f>
        <v>-361.993543877891</v>
      </c>
      <c r="P5" s="235">
        <f t="shared" ref="P5:P68" si="8">IF($B$8="N",F5/$F$175*$B$6,0)</f>
        <v>0</v>
      </c>
      <c r="Q5" s="235">
        <f t="shared" ref="Q5:Q68" si="9">$C$5*(1-(P5/$B$6)^1)^(1)</f>
        <v>362.10150745940484</v>
      </c>
      <c r="R5" s="235">
        <f t="shared" ref="R5:R68" si="10">-P5</f>
        <v>0</v>
      </c>
      <c r="S5" s="235">
        <f t="shared" ref="S5:S68" si="11">Q5</f>
        <v>362.10150745940484</v>
      </c>
      <c r="T5" s="235">
        <f t="shared" ref="T5:T68" si="12">-P5</f>
        <v>0</v>
      </c>
      <c r="U5" s="235">
        <f t="shared" ref="U5:U68" si="13">-Q5</f>
        <v>-362.10150745940484</v>
      </c>
      <c r="V5" s="235">
        <f t="shared" ref="V5:V68" si="14">P5</f>
        <v>0</v>
      </c>
      <c r="W5" s="235">
        <f t="shared" ref="W5:W68" si="15">-Q5</f>
        <v>-362.10150745940484</v>
      </c>
      <c r="Y5" s="235">
        <f t="shared" ref="Y5:Y68" si="16">F5/$F$175*$B$6</f>
        <v>4.7685296737477687</v>
      </c>
      <c r="Z5" s="235">
        <f t="shared" ref="Z5:Z68" si="17">$C$5*(1-(Y5/$B$6)^2)^(1/2)</f>
        <v>362.09531573197847</v>
      </c>
      <c r="AA5" s="235">
        <f t="shared" ref="AA5:AA68" si="18">-Y5</f>
        <v>-4.7685296737477687</v>
      </c>
      <c r="AB5" s="235">
        <f t="shared" ref="AB5:AB68" si="19">Z5</f>
        <v>362.09531573197847</v>
      </c>
      <c r="AC5" s="235">
        <f t="shared" ref="AC5:AC68" si="20">-Y5</f>
        <v>-4.7685296737477687</v>
      </c>
      <c r="AD5" s="235">
        <f t="shared" ref="AD5:AD68" si="21">-Z5</f>
        <v>-362.09531573197847</v>
      </c>
      <c r="AE5" s="235">
        <f t="shared" ref="AE5:AE68" si="22">Y5</f>
        <v>4.7685296737477687</v>
      </c>
      <c r="AF5" s="235">
        <f t="shared" ref="AF5:AF68" si="23">-Z5</f>
        <v>-362.09531573197847</v>
      </c>
    </row>
    <row r="6" spans="2:32" x14ac:dyDescent="0.25">
      <c r="B6" s="189">
        <f>'Verifica a Pressoflessione'!K6</f>
        <v>815.41857421086854</v>
      </c>
      <c r="C6" s="189">
        <v>0</v>
      </c>
      <c r="D6">
        <f>-C6</f>
        <v>0</v>
      </c>
      <c r="F6">
        <f t="shared" ref="F6:F69" si="24">F5+1</f>
        <v>2</v>
      </c>
      <c r="G6" s="235">
        <f t="shared" si="0"/>
        <v>9.5370593474955374</v>
      </c>
      <c r="H6" s="235">
        <f t="shared" si="1"/>
        <v>361.79609869293654</v>
      </c>
      <c r="I6" s="235">
        <f t="shared" si="2"/>
        <v>-9.5370593474955374</v>
      </c>
      <c r="J6" s="235">
        <f t="shared" si="3"/>
        <v>361.79609869293654</v>
      </c>
      <c r="K6" s="235">
        <f t="shared" si="4"/>
        <v>-9.5370593474955374</v>
      </c>
      <c r="L6" s="235">
        <f t="shared" si="5"/>
        <v>-361.79609869293654</v>
      </c>
      <c r="M6" s="235">
        <f t="shared" si="6"/>
        <v>9.5370593474955374</v>
      </c>
      <c r="N6" s="235">
        <f t="shared" si="7"/>
        <v>-361.79609869293654</v>
      </c>
      <c r="P6" s="235">
        <f t="shared" si="8"/>
        <v>0</v>
      </c>
      <c r="Q6" s="235">
        <f t="shared" si="9"/>
        <v>362.10150745940484</v>
      </c>
      <c r="R6" s="235">
        <f t="shared" si="10"/>
        <v>0</v>
      </c>
      <c r="S6" s="235">
        <f t="shared" si="11"/>
        <v>362.10150745940484</v>
      </c>
      <c r="T6" s="235">
        <f t="shared" si="12"/>
        <v>0</v>
      </c>
      <c r="U6" s="235">
        <f t="shared" si="13"/>
        <v>-362.10150745940484</v>
      </c>
      <c r="V6" s="235">
        <f t="shared" si="14"/>
        <v>0</v>
      </c>
      <c r="W6" s="235">
        <f t="shared" si="15"/>
        <v>-362.10150745940484</v>
      </c>
      <c r="Y6" s="235">
        <f t="shared" si="16"/>
        <v>9.5370593474955374</v>
      </c>
      <c r="Z6" s="235">
        <f t="shared" si="17"/>
        <v>362.07673991440601</v>
      </c>
      <c r="AA6" s="235">
        <f t="shared" si="18"/>
        <v>-9.5370593474955374</v>
      </c>
      <c r="AB6" s="235">
        <f t="shared" si="19"/>
        <v>362.07673991440601</v>
      </c>
      <c r="AC6" s="235">
        <f t="shared" si="20"/>
        <v>-9.5370593474955374</v>
      </c>
      <c r="AD6" s="235">
        <f t="shared" si="21"/>
        <v>-362.07673991440601</v>
      </c>
      <c r="AE6" s="235">
        <f t="shared" si="22"/>
        <v>9.5370593474955374</v>
      </c>
      <c r="AF6" s="235">
        <f t="shared" si="23"/>
        <v>-362.07673991440601</v>
      </c>
    </row>
    <row r="7" spans="2:32" x14ac:dyDescent="0.25">
      <c r="F7">
        <f t="shared" si="24"/>
        <v>3</v>
      </c>
      <c r="G7" s="235">
        <f t="shared" si="0"/>
        <v>14.305589021243307</v>
      </c>
      <c r="H7" s="235">
        <f t="shared" si="1"/>
        <v>361.54033657577315</v>
      </c>
      <c r="I7" s="235">
        <f t="shared" si="2"/>
        <v>-14.305589021243307</v>
      </c>
      <c r="J7" s="235">
        <f t="shared" si="3"/>
        <v>361.54033657577315</v>
      </c>
      <c r="K7" s="235">
        <f t="shared" si="4"/>
        <v>-14.305589021243307</v>
      </c>
      <c r="L7" s="235">
        <f t="shared" si="5"/>
        <v>-361.54033657577315</v>
      </c>
      <c r="M7" s="235">
        <f t="shared" si="6"/>
        <v>14.305589021243307</v>
      </c>
      <c r="N7" s="235">
        <f t="shared" si="7"/>
        <v>-361.54033657577315</v>
      </c>
      <c r="P7" s="235">
        <f t="shared" si="8"/>
        <v>0</v>
      </c>
      <c r="Q7" s="235">
        <f t="shared" si="9"/>
        <v>362.10150745940484</v>
      </c>
      <c r="R7" s="235">
        <f t="shared" si="10"/>
        <v>0</v>
      </c>
      <c r="S7" s="235">
        <f t="shared" si="11"/>
        <v>362.10150745940484</v>
      </c>
      <c r="T7" s="235">
        <f t="shared" si="12"/>
        <v>0</v>
      </c>
      <c r="U7" s="235">
        <f t="shared" si="13"/>
        <v>-362.10150745940484</v>
      </c>
      <c r="V7" s="235">
        <f t="shared" si="14"/>
        <v>0</v>
      </c>
      <c r="W7" s="235">
        <f t="shared" si="15"/>
        <v>-362.10150745940484</v>
      </c>
      <c r="Y7" s="235">
        <f t="shared" si="16"/>
        <v>14.305589021243307</v>
      </c>
      <c r="Z7" s="235">
        <f t="shared" si="17"/>
        <v>362.04577810048158</v>
      </c>
      <c r="AA7" s="235">
        <f t="shared" si="18"/>
        <v>-14.305589021243307</v>
      </c>
      <c r="AB7" s="235">
        <f t="shared" si="19"/>
        <v>362.04577810048158</v>
      </c>
      <c r="AC7" s="235">
        <f t="shared" si="20"/>
        <v>-14.305589021243307</v>
      </c>
      <c r="AD7" s="235">
        <f t="shared" si="21"/>
        <v>-362.04577810048158</v>
      </c>
      <c r="AE7" s="235">
        <f t="shared" si="22"/>
        <v>14.305589021243307</v>
      </c>
      <c r="AF7" s="235">
        <f t="shared" si="23"/>
        <v>-362.04577810048158</v>
      </c>
    </row>
    <row r="8" spans="2:32" x14ac:dyDescent="0.25">
      <c r="B8" s="3" t="str">
        <f>'foglio deposito'!L26</f>
        <v>G</v>
      </c>
      <c r="F8">
        <f t="shared" si="24"/>
        <v>4</v>
      </c>
      <c r="G8" s="235">
        <f t="shared" si="0"/>
        <v>19.074118694991075</v>
      </c>
      <c r="H8" s="235">
        <f t="shared" si="1"/>
        <v>361.23734740335658</v>
      </c>
      <c r="I8" s="235">
        <f t="shared" si="2"/>
        <v>-19.074118694991075</v>
      </c>
      <c r="J8" s="235">
        <f t="shared" si="3"/>
        <v>361.23734740335658</v>
      </c>
      <c r="K8" s="235">
        <f t="shared" si="4"/>
        <v>-19.074118694991075</v>
      </c>
      <c r="L8" s="235">
        <f t="shared" si="5"/>
        <v>-361.23734740335658</v>
      </c>
      <c r="M8" s="235">
        <f t="shared" si="6"/>
        <v>19.074118694991075</v>
      </c>
      <c r="N8" s="235">
        <f t="shared" si="7"/>
        <v>-361.23734740335658</v>
      </c>
      <c r="P8" s="235">
        <f t="shared" si="8"/>
        <v>0</v>
      </c>
      <c r="Q8" s="235">
        <f t="shared" si="9"/>
        <v>362.10150745940484</v>
      </c>
      <c r="R8" s="235">
        <f t="shared" si="10"/>
        <v>0</v>
      </c>
      <c r="S8" s="235">
        <f t="shared" si="11"/>
        <v>362.10150745940484</v>
      </c>
      <c r="T8" s="235">
        <f t="shared" si="12"/>
        <v>0</v>
      </c>
      <c r="U8" s="235">
        <f t="shared" si="13"/>
        <v>-362.10150745940484</v>
      </c>
      <c r="V8" s="235">
        <f t="shared" si="14"/>
        <v>0</v>
      </c>
      <c r="W8" s="235">
        <f t="shared" si="15"/>
        <v>-362.10150745940484</v>
      </c>
      <c r="Y8" s="235">
        <f t="shared" si="16"/>
        <v>19.074118694991075</v>
      </c>
      <c r="Z8" s="235">
        <f t="shared" si="17"/>
        <v>362.00242711210842</v>
      </c>
      <c r="AA8" s="235">
        <f t="shared" si="18"/>
        <v>-19.074118694991075</v>
      </c>
      <c r="AB8" s="235">
        <f t="shared" si="19"/>
        <v>362.00242711210842</v>
      </c>
      <c r="AC8" s="235">
        <f t="shared" si="20"/>
        <v>-19.074118694991075</v>
      </c>
      <c r="AD8" s="235">
        <f t="shared" si="21"/>
        <v>-362.00242711210842</v>
      </c>
      <c r="AE8" s="235">
        <f t="shared" si="22"/>
        <v>19.074118694991075</v>
      </c>
      <c r="AF8" s="235">
        <f t="shared" si="23"/>
        <v>-362.00242711210842</v>
      </c>
    </row>
    <row r="9" spans="2:32" x14ac:dyDescent="0.25">
      <c r="F9">
        <f t="shared" si="24"/>
        <v>5</v>
      </c>
      <c r="G9" s="235">
        <f t="shared" si="0"/>
        <v>23.842648368738846</v>
      </c>
      <c r="H9" s="235">
        <f t="shared" si="1"/>
        <v>360.89351986487043</v>
      </c>
      <c r="I9" s="235">
        <f t="shared" si="2"/>
        <v>-23.842648368738846</v>
      </c>
      <c r="J9" s="235">
        <f t="shared" si="3"/>
        <v>360.89351986487043</v>
      </c>
      <c r="K9" s="235">
        <f t="shared" si="4"/>
        <v>-23.842648368738846</v>
      </c>
      <c r="L9" s="235">
        <f t="shared" si="5"/>
        <v>-360.89351986487043</v>
      </c>
      <c r="M9" s="235">
        <f t="shared" si="6"/>
        <v>23.842648368738846</v>
      </c>
      <c r="N9" s="235">
        <f t="shared" si="7"/>
        <v>-360.89351986487043</v>
      </c>
      <c r="P9" s="235">
        <f t="shared" si="8"/>
        <v>0</v>
      </c>
      <c r="Q9" s="235">
        <f t="shared" si="9"/>
        <v>362.10150745940484</v>
      </c>
      <c r="R9" s="235">
        <f t="shared" si="10"/>
        <v>0</v>
      </c>
      <c r="S9" s="235">
        <f t="shared" si="11"/>
        <v>362.10150745940484</v>
      </c>
      <c r="T9" s="235">
        <f t="shared" si="12"/>
        <v>0</v>
      </c>
      <c r="U9" s="235">
        <f t="shared" si="13"/>
        <v>-362.10150745940484</v>
      </c>
      <c r="V9" s="235">
        <f t="shared" si="14"/>
        <v>0</v>
      </c>
      <c r="W9" s="235">
        <f t="shared" si="15"/>
        <v>-362.10150745940484</v>
      </c>
      <c r="Y9" s="235">
        <f t="shared" si="16"/>
        <v>23.842648368738846</v>
      </c>
      <c r="Z9" s="235">
        <f t="shared" si="17"/>
        <v>361.94668249766721</v>
      </c>
      <c r="AA9" s="235">
        <f t="shared" si="18"/>
        <v>-23.842648368738846</v>
      </c>
      <c r="AB9" s="235">
        <f t="shared" si="19"/>
        <v>361.94668249766721</v>
      </c>
      <c r="AC9" s="235">
        <f t="shared" si="20"/>
        <v>-23.842648368738846</v>
      </c>
      <c r="AD9" s="235">
        <f t="shared" si="21"/>
        <v>-361.94668249766721</v>
      </c>
      <c r="AE9" s="235">
        <f t="shared" si="22"/>
        <v>23.842648368738846</v>
      </c>
      <c r="AF9" s="235">
        <f t="shared" si="23"/>
        <v>-361.94668249766721</v>
      </c>
    </row>
    <row r="10" spans="2:32" x14ac:dyDescent="0.25">
      <c r="B10" t="s">
        <v>203</v>
      </c>
      <c r="F10">
        <f t="shared" si="24"/>
        <v>6</v>
      </c>
      <c r="G10" s="235">
        <f t="shared" si="0"/>
        <v>28.611178042486614</v>
      </c>
      <c r="H10" s="235">
        <f t="shared" si="1"/>
        <v>360.51314851630991</v>
      </c>
      <c r="I10" s="235">
        <f t="shared" si="2"/>
        <v>-28.611178042486614</v>
      </c>
      <c r="J10" s="235">
        <f t="shared" si="3"/>
        <v>360.51314851630991</v>
      </c>
      <c r="K10" s="235">
        <f t="shared" si="4"/>
        <v>-28.611178042486614</v>
      </c>
      <c r="L10" s="235">
        <f t="shared" si="5"/>
        <v>-360.51314851630991</v>
      </c>
      <c r="M10" s="235">
        <f t="shared" si="6"/>
        <v>28.611178042486614</v>
      </c>
      <c r="N10" s="235">
        <f t="shared" si="7"/>
        <v>-360.51314851630991</v>
      </c>
      <c r="P10" s="235">
        <f t="shared" si="8"/>
        <v>0</v>
      </c>
      <c r="Q10" s="235">
        <f t="shared" si="9"/>
        <v>362.10150745940484</v>
      </c>
      <c r="R10" s="235">
        <f t="shared" si="10"/>
        <v>0</v>
      </c>
      <c r="S10" s="235">
        <f t="shared" si="11"/>
        <v>362.10150745940484</v>
      </c>
      <c r="T10" s="235">
        <f t="shared" si="12"/>
        <v>0</v>
      </c>
      <c r="U10" s="235">
        <f t="shared" si="13"/>
        <v>-362.10150745940484</v>
      </c>
      <c r="V10" s="235">
        <f t="shared" si="14"/>
        <v>0</v>
      </c>
      <c r="W10" s="235">
        <f t="shared" si="15"/>
        <v>-362.10150745940484</v>
      </c>
      <c r="Y10" s="235">
        <f t="shared" si="16"/>
        <v>28.611178042486614</v>
      </c>
      <c r="Z10" s="235">
        <f t="shared" si="17"/>
        <v>361.8785385297287</v>
      </c>
      <c r="AA10" s="235">
        <f t="shared" si="18"/>
        <v>-28.611178042486614</v>
      </c>
      <c r="AB10" s="235">
        <f t="shared" si="19"/>
        <v>361.8785385297287</v>
      </c>
      <c r="AC10" s="235">
        <f t="shared" si="20"/>
        <v>-28.611178042486614</v>
      </c>
      <c r="AD10" s="235">
        <f t="shared" si="21"/>
        <v>-361.8785385297287</v>
      </c>
      <c r="AE10" s="235">
        <f t="shared" si="22"/>
        <v>28.611178042486614</v>
      </c>
      <c r="AF10" s="235">
        <f t="shared" si="23"/>
        <v>-361.8785385297287</v>
      </c>
    </row>
    <row r="11" spans="2:32" x14ac:dyDescent="0.25">
      <c r="B11" t="s">
        <v>201</v>
      </c>
      <c r="F11">
        <f t="shared" si="24"/>
        <v>7</v>
      </c>
      <c r="G11" s="235">
        <f t="shared" si="0"/>
        <v>33.379707716234385</v>
      </c>
      <c r="H11" s="235">
        <f t="shared" si="1"/>
        <v>360.09937288800376</v>
      </c>
      <c r="I11" s="235">
        <f t="shared" si="2"/>
        <v>-33.379707716234385</v>
      </c>
      <c r="J11" s="235">
        <f t="shared" si="3"/>
        <v>360.09937288800376</v>
      </c>
      <c r="K11" s="235">
        <f t="shared" si="4"/>
        <v>-33.379707716234385</v>
      </c>
      <c r="L11" s="235">
        <f t="shared" si="5"/>
        <v>-360.09937288800376</v>
      </c>
      <c r="M11" s="235">
        <f t="shared" si="6"/>
        <v>33.379707716234385</v>
      </c>
      <c r="N11" s="235">
        <f t="shared" si="7"/>
        <v>-360.09937288800376</v>
      </c>
      <c r="P11" s="235">
        <f t="shared" si="8"/>
        <v>0</v>
      </c>
      <c r="Q11" s="235">
        <f t="shared" si="9"/>
        <v>362.10150745940484</v>
      </c>
      <c r="R11" s="235">
        <f t="shared" si="10"/>
        <v>0</v>
      </c>
      <c r="S11" s="235">
        <f t="shared" si="11"/>
        <v>362.10150745940484</v>
      </c>
      <c r="T11" s="235">
        <f t="shared" si="12"/>
        <v>0</v>
      </c>
      <c r="U11" s="235">
        <f t="shared" si="13"/>
        <v>-362.10150745940484</v>
      </c>
      <c r="V11" s="235">
        <f t="shared" si="14"/>
        <v>0</v>
      </c>
      <c r="W11" s="235">
        <f t="shared" si="15"/>
        <v>-362.10150745940484</v>
      </c>
      <c r="Y11" s="235">
        <f t="shared" si="16"/>
        <v>33.379707716234385</v>
      </c>
      <c r="Z11" s="235">
        <f t="shared" si="17"/>
        <v>361.79798820210857</v>
      </c>
      <c r="AA11" s="235">
        <f t="shared" si="18"/>
        <v>-33.379707716234385</v>
      </c>
      <c r="AB11" s="235">
        <f t="shared" si="19"/>
        <v>361.79798820210857</v>
      </c>
      <c r="AC11" s="235">
        <f t="shared" si="20"/>
        <v>-33.379707716234385</v>
      </c>
      <c r="AD11" s="235">
        <f t="shared" si="21"/>
        <v>-361.79798820210857</v>
      </c>
      <c r="AE11" s="235">
        <f t="shared" si="22"/>
        <v>33.379707716234385</v>
      </c>
      <c r="AF11" s="235">
        <f t="shared" si="23"/>
        <v>-361.79798820210857</v>
      </c>
    </row>
    <row r="12" spans="2:32" x14ac:dyDescent="0.25">
      <c r="F12">
        <f t="shared" si="24"/>
        <v>8</v>
      </c>
      <c r="G12" s="235">
        <f t="shared" si="0"/>
        <v>38.14823738998215</v>
      </c>
      <c r="H12" s="235">
        <f t="shared" si="1"/>
        <v>359.65461420974276</v>
      </c>
      <c r="I12" s="235">
        <f t="shared" si="2"/>
        <v>-38.14823738998215</v>
      </c>
      <c r="J12" s="235">
        <f t="shared" si="3"/>
        <v>359.65461420974276</v>
      </c>
      <c r="K12" s="235">
        <f t="shared" si="4"/>
        <v>-38.14823738998215</v>
      </c>
      <c r="L12" s="235">
        <f t="shared" si="5"/>
        <v>-359.65461420974276</v>
      </c>
      <c r="M12" s="235">
        <f t="shared" si="6"/>
        <v>38.14823738998215</v>
      </c>
      <c r="N12" s="235">
        <f t="shared" si="7"/>
        <v>-359.65461420974276</v>
      </c>
      <c r="P12" s="235">
        <f t="shared" si="8"/>
        <v>0</v>
      </c>
      <c r="Q12" s="235">
        <f t="shared" si="9"/>
        <v>362.10150745940484</v>
      </c>
      <c r="R12" s="235">
        <f t="shared" si="10"/>
        <v>0</v>
      </c>
      <c r="S12" s="235">
        <f t="shared" si="11"/>
        <v>362.10150745940484</v>
      </c>
      <c r="T12" s="235">
        <f t="shared" si="12"/>
        <v>0</v>
      </c>
      <c r="U12" s="235">
        <f t="shared" si="13"/>
        <v>-362.10150745940484</v>
      </c>
      <c r="V12" s="235">
        <f t="shared" si="14"/>
        <v>0</v>
      </c>
      <c r="W12" s="235">
        <f t="shared" si="15"/>
        <v>-362.10150745940484</v>
      </c>
      <c r="Y12" s="235">
        <f t="shared" si="16"/>
        <v>38.14823738998215</v>
      </c>
      <c r="Z12" s="235">
        <f t="shared" si="17"/>
        <v>361.70502322626004</v>
      </c>
      <c r="AA12" s="235">
        <f t="shared" si="18"/>
        <v>-38.14823738998215</v>
      </c>
      <c r="AB12" s="235">
        <f t="shared" si="19"/>
        <v>361.70502322626004</v>
      </c>
      <c r="AC12" s="235">
        <f t="shared" si="20"/>
        <v>-38.14823738998215</v>
      </c>
      <c r="AD12" s="235">
        <f t="shared" si="21"/>
        <v>-361.70502322626004</v>
      </c>
      <c r="AE12" s="235">
        <f t="shared" si="22"/>
        <v>38.14823738998215</v>
      </c>
      <c r="AF12" s="235">
        <f t="shared" si="23"/>
        <v>-361.70502322626004</v>
      </c>
    </row>
    <row r="13" spans="2:32" x14ac:dyDescent="0.25">
      <c r="B13" t="s">
        <v>169</v>
      </c>
      <c r="F13">
        <f t="shared" si="24"/>
        <v>9</v>
      </c>
      <c r="G13" s="235">
        <f t="shared" si="0"/>
        <v>42.916767063729921</v>
      </c>
      <c r="H13" s="235">
        <f t="shared" si="1"/>
        <v>359.18081055455207</v>
      </c>
      <c r="I13" s="235">
        <f t="shared" si="2"/>
        <v>-42.916767063729921</v>
      </c>
      <c r="J13" s="235">
        <f t="shared" si="3"/>
        <v>359.18081055455207</v>
      </c>
      <c r="K13" s="235">
        <f t="shared" si="4"/>
        <v>-42.916767063729921</v>
      </c>
      <c r="L13" s="235">
        <f t="shared" si="5"/>
        <v>-359.18081055455207</v>
      </c>
      <c r="M13" s="235">
        <f t="shared" si="6"/>
        <v>42.916767063729921</v>
      </c>
      <c r="N13" s="235">
        <f t="shared" si="7"/>
        <v>-359.18081055455207</v>
      </c>
      <c r="P13" s="235">
        <f t="shared" si="8"/>
        <v>0</v>
      </c>
      <c r="Q13" s="235">
        <f t="shared" si="9"/>
        <v>362.10150745940484</v>
      </c>
      <c r="R13" s="235">
        <f t="shared" si="10"/>
        <v>0</v>
      </c>
      <c r="S13" s="235">
        <f t="shared" si="11"/>
        <v>362.10150745940484</v>
      </c>
      <c r="T13" s="235">
        <f t="shared" si="12"/>
        <v>0</v>
      </c>
      <c r="U13" s="235">
        <f t="shared" si="13"/>
        <v>-362.10150745940484</v>
      </c>
      <c r="V13" s="235">
        <f t="shared" si="14"/>
        <v>0</v>
      </c>
      <c r="W13" s="235">
        <f t="shared" si="15"/>
        <v>-362.10150745940484</v>
      </c>
      <c r="Y13" s="235">
        <f t="shared" si="16"/>
        <v>42.916767063729921</v>
      </c>
      <c r="Z13" s="235">
        <f t="shared" si="17"/>
        <v>361.59963402700095</v>
      </c>
      <c r="AA13" s="235">
        <f t="shared" si="18"/>
        <v>-42.916767063729921</v>
      </c>
      <c r="AB13" s="235">
        <f t="shared" si="19"/>
        <v>361.59963402700095</v>
      </c>
      <c r="AC13" s="235">
        <f t="shared" si="20"/>
        <v>-42.916767063729921</v>
      </c>
      <c r="AD13" s="235">
        <f t="shared" si="21"/>
        <v>-361.59963402700095</v>
      </c>
      <c r="AE13" s="235">
        <f t="shared" si="22"/>
        <v>42.916767063729921</v>
      </c>
      <c r="AF13" s="235">
        <f t="shared" si="23"/>
        <v>-361.59963402700095</v>
      </c>
    </row>
    <row r="14" spans="2:32" x14ac:dyDescent="0.25">
      <c r="B14" t="s">
        <v>204</v>
      </c>
      <c r="F14">
        <f t="shared" si="24"/>
        <v>10</v>
      </c>
      <c r="G14" s="235">
        <f t="shared" si="0"/>
        <v>47.685296737477692</v>
      </c>
      <c r="H14" s="235">
        <f t="shared" si="1"/>
        <v>358.67955638366533</v>
      </c>
      <c r="I14" s="235">
        <f t="shared" si="2"/>
        <v>-47.685296737477692</v>
      </c>
      <c r="J14" s="235">
        <f t="shared" si="3"/>
        <v>358.67955638366533</v>
      </c>
      <c r="K14" s="235">
        <f t="shared" si="4"/>
        <v>-47.685296737477692</v>
      </c>
      <c r="L14" s="235">
        <f t="shared" si="5"/>
        <v>-358.67955638366533</v>
      </c>
      <c r="M14" s="235">
        <f t="shared" si="6"/>
        <v>47.685296737477692</v>
      </c>
      <c r="N14" s="235">
        <f t="shared" si="7"/>
        <v>-358.67955638366533</v>
      </c>
      <c r="P14" s="235">
        <f t="shared" si="8"/>
        <v>0</v>
      </c>
      <c r="Q14" s="235">
        <f t="shared" si="9"/>
        <v>362.10150745940484</v>
      </c>
      <c r="R14" s="235">
        <f t="shared" si="10"/>
        <v>0</v>
      </c>
      <c r="S14" s="235">
        <f t="shared" si="11"/>
        <v>362.10150745940484</v>
      </c>
      <c r="T14" s="235">
        <f t="shared" si="12"/>
        <v>0</v>
      </c>
      <c r="U14" s="235">
        <f t="shared" si="13"/>
        <v>-362.10150745940484</v>
      </c>
      <c r="V14" s="235">
        <f t="shared" si="14"/>
        <v>0</v>
      </c>
      <c r="W14" s="235">
        <f t="shared" si="15"/>
        <v>-362.10150745940484</v>
      </c>
      <c r="Y14" s="235">
        <f t="shared" si="16"/>
        <v>47.685296737477692</v>
      </c>
      <c r="Z14" s="235">
        <f t="shared" si="17"/>
        <v>361.48180973756928</v>
      </c>
      <c r="AA14" s="235">
        <f t="shared" si="18"/>
        <v>-47.685296737477692</v>
      </c>
      <c r="AB14" s="235">
        <f t="shared" si="19"/>
        <v>361.48180973756928</v>
      </c>
      <c r="AC14" s="235">
        <f t="shared" si="20"/>
        <v>-47.685296737477692</v>
      </c>
      <c r="AD14" s="235">
        <f t="shared" si="21"/>
        <v>-361.48180973756928</v>
      </c>
      <c r="AE14" s="235">
        <f t="shared" si="22"/>
        <v>47.685296737477692</v>
      </c>
      <c r="AF14" s="235">
        <f t="shared" si="23"/>
        <v>-361.48180973756928</v>
      </c>
    </row>
    <row r="15" spans="2:32" x14ac:dyDescent="0.25">
      <c r="F15">
        <f t="shared" si="24"/>
        <v>11</v>
      </c>
      <c r="G15" s="235">
        <f t="shared" si="0"/>
        <v>52.453826411225457</v>
      </c>
      <c r="H15" s="235">
        <f t="shared" si="1"/>
        <v>358.15219136030549</v>
      </c>
      <c r="I15" s="235">
        <f t="shared" si="2"/>
        <v>-52.453826411225457</v>
      </c>
      <c r="J15" s="235">
        <f t="shared" si="3"/>
        <v>358.15219136030549</v>
      </c>
      <c r="K15" s="235">
        <f t="shared" si="4"/>
        <v>-52.453826411225457</v>
      </c>
      <c r="L15" s="235">
        <f t="shared" si="5"/>
        <v>-358.15219136030549</v>
      </c>
      <c r="M15" s="235">
        <f t="shared" si="6"/>
        <v>52.453826411225457</v>
      </c>
      <c r="N15" s="235">
        <f t="shared" si="7"/>
        <v>-358.15219136030549</v>
      </c>
      <c r="P15" s="235">
        <f t="shared" si="8"/>
        <v>0</v>
      </c>
      <c r="Q15" s="235">
        <f t="shared" si="9"/>
        <v>362.10150745940484</v>
      </c>
      <c r="R15" s="235">
        <f t="shared" si="10"/>
        <v>0</v>
      </c>
      <c r="S15" s="235">
        <f t="shared" si="11"/>
        <v>362.10150745940484</v>
      </c>
      <c r="T15" s="235">
        <f t="shared" si="12"/>
        <v>0</v>
      </c>
      <c r="U15" s="235">
        <f t="shared" si="13"/>
        <v>-362.10150745940484</v>
      </c>
      <c r="V15" s="235">
        <f t="shared" si="14"/>
        <v>0</v>
      </c>
      <c r="W15" s="235">
        <f t="shared" si="15"/>
        <v>-362.10150745940484</v>
      </c>
      <c r="Y15" s="235">
        <f t="shared" si="16"/>
        <v>52.453826411225457</v>
      </c>
      <c r="Z15" s="235">
        <f t="shared" si="17"/>
        <v>361.35153819400153</v>
      </c>
      <c r="AA15" s="235">
        <f t="shared" si="18"/>
        <v>-52.453826411225457</v>
      </c>
      <c r="AB15" s="235">
        <f t="shared" si="19"/>
        <v>361.35153819400153</v>
      </c>
      <c r="AC15" s="235">
        <f t="shared" si="20"/>
        <v>-52.453826411225457</v>
      </c>
      <c r="AD15" s="235">
        <f t="shared" si="21"/>
        <v>-361.35153819400153</v>
      </c>
      <c r="AE15" s="235">
        <f t="shared" si="22"/>
        <v>52.453826411225457</v>
      </c>
      <c r="AF15" s="235">
        <f t="shared" si="23"/>
        <v>-361.35153819400153</v>
      </c>
    </row>
    <row r="16" spans="2:32" x14ac:dyDescent="0.25">
      <c r="F16">
        <f t="shared" si="24"/>
        <v>12</v>
      </c>
      <c r="G16" s="235">
        <f t="shared" si="0"/>
        <v>57.222356084973228</v>
      </c>
      <c r="H16" s="235">
        <f t="shared" si="1"/>
        <v>357.59985995070707</v>
      </c>
      <c r="I16" s="235">
        <f t="shared" si="2"/>
        <v>-57.222356084973228</v>
      </c>
      <c r="J16" s="235">
        <f t="shared" si="3"/>
        <v>357.59985995070707</v>
      </c>
      <c r="K16" s="235">
        <f t="shared" si="4"/>
        <v>-57.222356084973228</v>
      </c>
      <c r="L16" s="235">
        <f t="shared" si="5"/>
        <v>-357.59985995070707</v>
      </c>
      <c r="M16" s="235">
        <f t="shared" si="6"/>
        <v>57.222356084973228</v>
      </c>
      <c r="N16" s="235">
        <f t="shared" si="7"/>
        <v>-357.59985995070707</v>
      </c>
      <c r="P16" s="235">
        <f t="shared" si="8"/>
        <v>0</v>
      </c>
      <c r="Q16" s="235">
        <f t="shared" si="9"/>
        <v>362.10150745940484</v>
      </c>
      <c r="R16" s="235">
        <f t="shared" si="10"/>
        <v>0</v>
      </c>
      <c r="S16" s="235">
        <f t="shared" si="11"/>
        <v>362.10150745940484</v>
      </c>
      <c r="T16" s="235">
        <f t="shared" si="12"/>
        <v>0</v>
      </c>
      <c r="U16" s="235">
        <f t="shared" si="13"/>
        <v>-362.10150745940484</v>
      </c>
      <c r="V16" s="235">
        <f t="shared" si="14"/>
        <v>0</v>
      </c>
      <c r="W16" s="235">
        <f t="shared" si="15"/>
        <v>-362.10150745940484</v>
      </c>
      <c r="Y16" s="235">
        <f t="shared" si="16"/>
        <v>57.222356084973228</v>
      </c>
      <c r="Z16" s="235">
        <f t="shared" si="17"/>
        <v>361.20880592882725</v>
      </c>
      <c r="AA16" s="235">
        <f t="shared" si="18"/>
        <v>-57.222356084973228</v>
      </c>
      <c r="AB16" s="235">
        <f t="shared" si="19"/>
        <v>361.20880592882725</v>
      </c>
      <c r="AC16" s="235">
        <f t="shared" si="20"/>
        <v>-57.222356084973228</v>
      </c>
      <c r="AD16" s="235">
        <f t="shared" si="21"/>
        <v>-361.20880592882725</v>
      </c>
      <c r="AE16" s="235">
        <f t="shared" si="22"/>
        <v>57.222356084973228</v>
      </c>
      <c r="AF16" s="235">
        <f t="shared" si="23"/>
        <v>-361.20880592882725</v>
      </c>
    </row>
    <row r="17" spans="2:32" x14ac:dyDescent="0.25">
      <c r="B17" t="s">
        <v>205</v>
      </c>
      <c r="F17">
        <f t="shared" si="24"/>
        <v>13</v>
      </c>
      <c r="G17" s="235">
        <f t="shared" si="0"/>
        <v>61.990885758720999</v>
      </c>
      <c r="H17" s="235">
        <f t="shared" si="1"/>
        <v>357.0235531205056</v>
      </c>
      <c r="I17" s="235">
        <f t="shared" si="2"/>
        <v>-61.990885758720999</v>
      </c>
      <c r="J17" s="235">
        <f t="shared" si="3"/>
        <v>357.0235531205056</v>
      </c>
      <c r="K17" s="235">
        <f t="shared" si="4"/>
        <v>-61.990885758720999</v>
      </c>
      <c r="L17" s="235">
        <f t="shared" si="5"/>
        <v>-357.0235531205056</v>
      </c>
      <c r="M17" s="235">
        <f t="shared" si="6"/>
        <v>61.990885758720999</v>
      </c>
      <c r="N17" s="235">
        <f t="shared" si="7"/>
        <v>-357.0235531205056</v>
      </c>
      <c r="P17" s="235">
        <f t="shared" si="8"/>
        <v>0</v>
      </c>
      <c r="Q17" s="235">
        <f t="shared" si="9"/>
        <v>362.10150745940484</v>
      </c>
      <c r="R17" s="235">
        <f t="shared" si="10"/>
        <v>0</v>
      </c>
      <c r="S17" s="235">
        <f t="shared" si="11"/>
        <v>362.10150745940484</v>
      </c>
      <c r="T17" s="235">
        <f t="shared" si="12"/>
        <v>0</v>
      </c>
      <c r="U17" s="235">
        <f t="shared" si="13"/>
        <v>-362.10150745940484</v>
      </c>
      <c r="V17" s="235">
        <f t="shared" si="14"/>
        <v>0</v>
      </c>
      <c r="W17" s="235">
        <f t="shared" si="15"/>
        <v>-362.10150745940484</v>
      </c>
      <c r="Y17" s="235">
        <f t="shared" si="16"/>
        <v>61.990885758720999</v>
      </c>
      <c r="Z17" s="235">
        <f t="shared" si="17"/>
        <v>361.05359816407156</v>
      </c>
      <c r="AA17" s="235">
        <f t="shared" si="18"/>
        <v>-61.990885758720999</v>
      </c>
      <c r="AB17" s="235">
        <f t="shared" si="19"/>
        <v>361.05359816407156</v>
      </c>
      <c r="AC17" s="235">
        <f t="shared" si="20"/>
        <v>-61.990885758720999</v>
      </c>
      <c r="AD17" s="235">
        <f t="shared" si="21"/>
        <v>-361.05359816407156</v>
      </c>
      <c r="AE17" s="235">
        <f t="shared" si="22"/>
        <v>61.990885758720999</v>
      </c>
      <c r="AF17" s="235">
        <f t="shared" si="23"/>
        <v>-361.05359816407156</v>
      </c>
    </row>
    <row r="18" spans="2:32" x14ac:dyDescent="0.25">
      <c r="B18" t="s">
        <v>181</v>
      </c>
      <c r="F18">
        <f t="shared" si="24"/>
        <v>14</v>
      </c>
      <c r="G18" s="235">
        <f t="shared" si="0"/>
        <v>66.759415432468771</v>
      </c>
      <c r="H18" s="235">
        <f t="shared" si="1"/>
        <v>356.4241385019414</v>
      </c>
      <c r="I18" s="235">
        <f t="shared" si="2"/>
        <v>-66.759415432468771</v>
      </c>
      <c r="J18" s="235">
        <f t="shared" si="3"/>
        <v>356.4241385019414</v>
      </c>
      <c r="K18" s="235">
        <f t="shared" si="4"/>
        <v>-66.759415432468771</v>
      </c>
      <c r="L18" s="235">
        <f t="shared" si="5"/>
        <v>-356.4241385019414</v>
      </c>
      <c r="M18" s="235">
        <f t="shared" si="6"/>
        <v>66.759415432468771</v>
      </c>
      <c r="N18" s="235">
        <f t="shared" si="7"/>
        <v>-356.4241385019414</v>
      </c>
      <c r="P18" s="235">
        <f t="shared" si="8"/>
        <v>0</v>
      </c>
      <c r="Q18" s="235">
        <f t="shared" si="9"/>
        <v>362.10150745940484</v>
      </c>
      <c r="R18" s="235">
        <f t="shared" si="10"/>
        <v>0</v>
      </c>
      <c r="S18" s="235">
        <f t="shared" si="11"/>
        <v>362.10150745940484</v>
      </c>
      <c r="T18" s="235">
        <f t="shared" si="12"/>
        <v>0</v>
      </c>
      <c r="U18" s="235">
        <f t="shared" si="13"/>
        <v>-362.10150745940484</v>
      </c>
      <c r="V18" s="235">
        <f t="shared" si="14"/>
        <v>0</v>
      </c>
      <c r="W18" s="235">
        <f t="shared" si="15"/>
        <v>-362.10150745940484</v>
      </c>
      <c r="Y18" s="235">
        <f t="shared" si="16"/>
        <v>66.759415432468771</v>
      </c>
      <c r="Z18" s="235">
        <f t="shared" si="17"/>
        <v>360.88589880355823</v>
      </c>
      <c r="AA18" s="235">
        <f t="shared" si="18"/>
        <v>-66.759415432468771</v>
      </c>
      <c r="AB18" s="235">
        <f t="shared" si="19"/>
        <v>360.88589880355823</v>
      </c>
      <c r="AC18" s="235">
        <f t="shared" si="20"/>
        <v>-66.759415432468771</v>
      </c>
      <c r="AD18" s="235">
        <f t="shared" si="21"/>
        <v>-360.88589880355823</v>
      </c>
      <c r="AE18" s="235">
        <f t="shared" si="22"/>
        <v>66.759415432468771</v>
      </c>
      <c r="AF18" s="235">
        <f t="shared" si="23"/>
        <v>-360.88589880355823</v>
      </c>
    </row>
    <row r="19" spans="2:32" x14ac:dyDescent="0.25">
      <c r="F19">
        <f t="shared" si="24"/>
        <v>15</v>
      </c>
      <c r="G19" s="235">
        <f t="shared" si="0"/>
        <v>71.527945106216535</v>
      </c>
      <c r="H19" s="235">
        <f t="shared" si="1"/>
        <v>355.80238283327202</v>
      </c>
      <c r="I19" s="235">
        <f t="shared" si="2"/>
        <v>-71.527945106216535</v>
      </c>
      <c r="J19" s="235">
        <f t="shared" si="3"/>
        <v>355.80238283327202</v>
      </c>
      <c r="K19" s="235">
        <f t="shared" si="4"/>
        <v>-71.527945106216535</v>
      </c>
      <c r="L19" s="235">
        <f t="shared" si="5"/>
        <v>-355.80238283327202</v>
      </c>
      <c r="M19" s="235">
        <f t="shared" si="6"/>
        <v>71.527945106216535</v>
      </c>
      <c r="N19" s="235">
        <f t="shared" si="7"/>
        <v>-355.80238283327202</v>
      </c>
      <c r="P19" s="235">
        <f t="shared" si="8"/>
        <v>0</v>
      </c>
      <c r="Q19" s="235">
        <f t="shared" si="9"/>
        <v>362.10150745940484</v>
      </c>
      <c r="R19" s="235">
        <f t="shared" si="10"/>
        <v>0</v>
      </c>
      <c r="S19" s="235">
        <f t="shared" si="11"/>
        <v>362.10150745940484</v>
      </c>
      <c r="T19" s="235">
        <f t="shared" si="12"/>
        <v>0</v>
      </c>
      <c r="U19" s="235">
        <f t="shared" si="13"/>
        <v>-362.10150745940484</v>
      </c>
      <c r="V19" s="235">
        <f t="shared" si="14"/>
        <v>0</v>
      </c>
      <c r="W19" s="235">
        <f t="shared" si="15"/>
        <v>-362.10150745940484</v>
      </c>
      <c r="Y19" s="235">
        <f t="shared" si="16"/>
        <v>71.527945106216535</v>
      </c>
      <c r="Z19" s="235">
        <f t="shared" si="17"/>
        <v>360.70569042450211</v>
      </c>
      <c r="AA19" s="235">
        <f t="shared" si="18"/>
        <v>-71.527945106216535</v>
      </c>
      <c r="AB19" s="235">
        <f t="shared" si="19"/>
        <v>360.70569042450211</v>
      </c>
      <c r="AC19" s="235">
        <f t="shared" si="20"/>
        <v>-71.527945106216535</v>
      </c>
      <c r="AD19" s="235">
        <f t="shared" si="21"/>
        <v>-360.70569042450211</v>
      </c>
      <c r="AE19" s="235">
        <f t="shared" si="22"/>
        <v>71.527945106216535</v>
      </c>
      <c r="AF19" s="235">
        <f t="shared" si="23"/>
        <v>-360.70569042450211</v>
      </c>
    </row>
    <row r="20" spans="2:32" x14ac:dyDescent="0.25">
      <c r="F20">
        <f t="shared" si="24"/>
        <v>16</v>
      </c>
      <c r="G20" s="235">
        <f t="shared" si="0"/>
        <v>76.296474779964299</v>
      </c>
      <c r="H20" s="235">
        <f t="shared" si="1"/>
        <v>355.15896904305589</v>
      </c>
      <c r="I20" s="235">
        <f t="shared" si="2"/>
        <v>-76.296474779964299</v>
      </c>
      <c r="J20" s="235">
        <f t="shared" si="3"/>
        <v>355.15896904305589</v>
      </c>
      <c r="K20" s="235">
        <f t="shared" si="4"/>
        <v>-76.296474779964299</v>
      </c>
      <c r="L20" s="235">
        <f t="shared" si="5"/>
        <v>-355.15896904305589</v>
      </c>
      <c r="M20" s="235">
        <f t="shared" si="6"/>
        <v>76.296474779964299</v>
      </c>
      <c r="N20" s="235">
        <f t="shared" si="7"/>
        <v>-355.15896904305589</v>
      </c>
      <c r="P20" s="235">
        <f t="shared" si="8"/>
        <v>0</v>
      </c>
      <c r="Q20" s="235">
        <f t="shared" si="9"/>
        <v>362.10150745940484</v>
      </c>
      <c r="R20" s="235">
        <f t="shared" si="10"/>
        <v>0</v>
      </c>
      <c r="S20" s="235">
        <f t="shared" si="11"/>
        <v>362.10150745940484</v>
      </c>
      <c r="T20" s="235">
        <f t="shared" si="12"/>
        <v>0</v>
      </c>
      <c r="U20" s="235">
        <f t="shared" si="13"/>
        <v>-362.10150745940484</v>
      </c>
      <c r="V20" s="235">
        <f t="shared" si="14"/>
        <v>0</v>
      </c>
      <c r="W20" s="235">
        <f t="shared" si="15"/>
        <v>-362.10150745940484</v>
      </c>
      <c r="Y20" s="235">
        <f t="shared" si="16"/>
        <v>76.296474779964299</v>
      </c>
      <c r="Z20" s="235">
        <f t="shared" si="17"/>
        <v>360.51295426838266</v>
      </c>
      <c r="AA20" s="235">
        <f t="shared" si="18"/>
        <v>-76.296474779964299</v>
      </c>
      <c r="AB20" s="235">
        <f t="shared" si="19"/>
        <v>360.51295426838266</v>
      </c>
      <c r="AC20" s="235">
        <f t="shared" si="20"/>
        <v>-76.296474779964299</v>
      </c>
      <c r="AD20" s="235">
        <f t="shared" si="21"/>
        <v>-360.51295426838266</v>
      </c>
      <c r="AE20" s="235">
        <f t="shared" si="22"/>
        <v>76.296474779964299</v>
      </c>
      <c r="AF20" s="235">
        <f t="shared" si="23"/>
        <v>-360.51295426838266</v>
      </c>
    </row>
    <row r="21" spans="2:32" x14ac:dyDescent="0.25">
      <c r="F21">
        <f t="shared" si="24"/>
        <v>17</v>
      </c>
      <c r="G21" s="235">
        <f t="shared" si="0"/>
        <v>81.065004453712078</v>
      </c>
      <c r="H21" s="235">
        <f t="shared" si="1"/>
        <v>354.49450951775077</v>
      </c>
      <c r="I21" s="235">
        <f t="shared" si="2"/>
        <v>-81.065004453712078</v>
      </c>
      <c r="J21" s="235">
        <f t="shared" si="3"/>
        <v>354.49450951775077</v>
      </c>
      <c r="K21" s="235">
        <f t="shared" si="4"/>
        <v>-81.065004453712078</v>
      </c>
      <c r="L21" s="235">
        <f t="shared" si="5"/>
        <v>-354.49450951775077</v>
      </c>
      <c r="M21" s="235">
        <f t="shared" si="6"/>
        <v>81.065004453712078</v>
      </c>
      <c r="N21" s="235">
        <f t="shared" si="7"/>
        <v>-354.49450951775077</v>
      </c>
      <c r="P21" s="235">
        <f t="shared" si="8"/>
        <v>0</v>
      </c>
      <c r="Q21" s="235">
        <f t="shared" si="9"/>
        <v>362.10150745940484</v>
      </c>
      <c r="R21" s="235">
        <f t="shared" si="10"/>
        <v>0</v>
      </c>
      <c r="S21" s="235">
        <f t="shared" si="11"/>
        <v>362.10150745940484</v>
      </c>
      <c r="T21" s="235">
        <f t="shared" si="12"/>
        <v>0</v>
      </c>
      <c r="U21" s="235">
        <f t="shared" si="13"/>
        <v>-362.10150745940484</v>
      </c>
      <c r="V21" s="235">
        <f t="shared" si="14"/>
        <v>0</v>
      </c>
      <c r="W21" s="235">
        <f t="shared" si="15"/>
        <v>-362.10150745940484</v>
      </c>
      <c r="Y21" s="235">
        <f t="shared" si="16"/>
        <v>81.065004453712078</v>
      </c>
      <c r="Z21" s="235">
        <f t="shared" si="17"/>
        <v>360.30767023108552</v>
      </c>
      <c r="AA21" s="235">
        <f t="shared" si="18"/>
        <v>-81.065004453712078</v>
      </c>
      <c r="AB21" s="235">
        <f t="shared" si="19"/>
        <v>360.30767023108552</v>
      </c>
      <c r="AC21" s="235">
        <f t="shared" si="20"/>
        <v>-81.065004453712078</v>
      </c>
      <c r="AD21" s="235">
        <f t="shared" si="21"/>
        <v>-360.30767023108552</v>
      </c>
      <c r="AE21" s="235">
        <f t="shared" si="22"/>
        <v>81.065004453712078</v>
      </c>
      <c r="AF21" s="235">
        <f t="shared" si="23"/>
        <v>-360.30767023108552</v>
      </c>
    </row>
    <row r="22" spans="2:32" x14ac:dyDescent="0.25">
      <c r="F22">
        <f t="shared" si="24"/>
        <v>18</v>
      </c>
      <c r="G22" s="235">
        <f t="shared" si="0"/>
        <v>85.833534127459842</v>
      </c>
      <c r="H22" s="235">
        <f t="shared" si="1"/>
        <v>353.80955658290424</v>
      </c>
      <c r="I22" s="235">
        <f t="shared" si="2"/>
        <v>-85.833534127459842</v>
      </c>
      <c r="J22" s="235">
        <f t="shared" si="3"/>
        <v>353.80955658290424</v>
      </c>
      <c r="K22" s="235">
        <f t="shared" si="4"/>
        <v>-85.833534127459842</v>
      </c>
      <c r="L22" s="235">
        <f t="shared" si="5"/>
        <v>-353.80955658290424</v>
      </c>
      <c r="M22" s="235">
        <f t="shared" si="6"/>
        <v>85.833534127459842</v>
      </c>
      <c r="N22" s="235">
        <f t="shared" si="7"/>
        <v>-353.80955658290424</v>
      </c>
      <c r="P22" s="235">
        <f t="shared" si="8"/>
        <v>0</v>
      </c>
      <c r="Q22" s="235">
        <f t="shared" si="9"/>
        <v>362.10150745940484</v>
      </c>
      <c r="R22" s="235">
        <f t="shared" si="10"/>
        <v>0</v>
      </c>
      <c r="S22" s="235">
        <f t="shared" si="11"/>
        <v>362.10150745940484</v>
      </c>
      <c r="T22" s="235">
        <f t="shared" si="12"/>
        <v>0</v>
      </c>
      <c r="U22" s="235">
        <f t="shared" si="13"/>
        <v>-362.10150745940484</v>
      </c>
      <c r="V22" s="235">
        <f t="shared" si="14"/>
        <v>0</v>
      </c>
      <c r="W22" s="235">
        <f t="shared" si="15"/>
        <v>-362.10150745940484</v>
      </c>
      <c r="Y22" s="235">
        <f t="shared" si="16"/>
        <v>85.833534127459842</v>
      </c>
      <c r="Z22" s="235">
        <f t="shared" si="17"/>
        <v>360.08981685230123</v>
      </c>
      <c r="AA22" s="235">
        <f t="shared" si="18"/>
        <v>-85.833534127459842</v>
      </c>
      <c r="AB22" s="235">
        <f t="shared" si="19"/>
        <v>360.08981685230123</v>
      </c>
      <c r="AC22" s="235">
        <f t="shared" si="20"/>
        <v>-85.833534127459842</v>
      </c>
      <c r="AD22" s="235">
        <f t="shared" si="21"/>
        <v>-360.08981685230123</v>
      </c>
      <c r="AE22" s="235">
        <f t="shared" si="22"/>
        <v>85.833534127459842</v>
      </c>
      <c r="AF22" s="235">
        <f t="shared" si="23"/>
        <v>-360.08981685230123</v>
      </c>
    </row>
    <row r="23" spans="2:32" x14ac:dyDescent="0.25">
      <c r="F23">
        <f t="shared" si="24"/>
        <v>19</v>
      </c>
      <c r="G23" s="235">
        <f t="shared" si="0"/>
        <v>90.602063801207606</v>
      </c>
      <c r="H23" s="235">
        <f t="shared" si="1"/>
        <v>353.10461090730041</v>
      </c>
      <c r="I23" s="235">
        <f t="shared" si="2"/>
        <v>-90.602063801207606</v>
      </c>
      <c r="J23" s="235">
        <f t="shared" si="3"/>
        <v>353.10461090730041</v>
      </c>
      <c r="K23" s="235">
        <f t="shared" si="4"/>
        <v>-90.602063801207606</v>
      </c>
      <c r="L23" s="235">
        <f t="shared" si="5"/>
        <v>-353.10461090730041</v>
      </c>
      <c r="M23" s="235">
        <f t="shared" si="6"/>
        <v>90.602063801207606</v>
      </c>
      <c r="N23" s="235">
        <f t="shared" si="7"/>
        <v>-353.10461090730041</v>
      </c>
      <c r="P23" s="235">
        <f t="shared" si="8"/>
        <v>0</v>
      </c>
      <c r="Q23" s="235">
        <f t="shared" si="9"/>
        <v>362.10150745940484</v>
      </c>
      <c r="R23" s="235">
        <f t="shared" si="10"/>
        <v>0</v>
      </c>
      <c r="S23" s="235">
        <f t="shared" si="11"/>
        <v>362.10150745940484</v>
      </c>
      <c r="T23" s="235">
        <f t="shared" si="12"/>
        <v>0</v>
      </c>
      <c r="U23" s="235">
        <f t="shared" si="13"/>
        <v>-362.10150745940484</v>
      </c>
      <c r="V23" s="235">
        <f t="shared" si="14"/>
        <v>0</v>
      </c>
      <c r="W23" s="235">
        <f t="shared" si="15"/>
        <v>-362.10150745940484</v>
      </c>
      <c r="Y23" s="235">
        <f t="shared" si="16"/>
        <v>90.602063801207606</v>
      </c>
      <c r="Z23" s="235">
        <f t="shared" si="17"/>
        <v>359.85937130416727</v>
      </c>
      <c r="AA23" s="235">
        <f t="shared" si="18"/>
        <v>-90.602063801207606</v>
      </c>
      <c r="AB23" s="235">
        <f t="shared" si="19"/>
        <v>359.85937130416727</v>
      </c>
      <c r="AC23" s="235">
        <f t="shared" si="20"/>
        <v>-90.602063801207606</v>
      </c>
      <c r="AD23" s="235">
        <f t="shared" si="21"/>
        <v>-359.85937130416727</v>
      </c>
      <c r="AE23" s="235">
        <f t="shared" si="22"/>
        <v>90.602063801207606</v>
      </c>
      <c r="AF23" s="235">
        <f t="shared" si="23"/>
        <v>-359.85937130416727</v>
      </c>
    </row>
    <row r="24" spans="2:32" x14ac:dyDescent="0.25">
      <c r="F24">
        <f t="shared" si="24"/>
        <v>20</v>
      </c>
      <c r="G24" s="235">
        <f t="shared" si="0"/>
        <v>95.370593474955385</v>
      </c>
      <c r="H24" s="235">
        <f t="shared" si="1"/>
        <v>352.38012833037726</v>
      </c>
      <c r="I24" s="235">
        <f t="shared" si="2"/>
        <v>-95.370593474955385</v>
      </c>
      <c r="J24" s="235">
        <f t="shared" si="3"/>
        <v>352.38012833037726</v>
      </c>
      <c r="K24" s="235">
        <f t="shared" si="4"/>
        <v>-95.370593474955385</v>
      </c>
      <c r="L24" s="235">
        <f t="shared" si="5"/>
        <v>-352.38012833037726</v>
      </c>
      <c r="M24" s="235">
        <f t="shared" si="6"/>
        <v>95.370593474955385</v>
      </c>
      <c r="N24" s="235">
        <f t="shared" si="7"/>
        <v>-352.38012833037726</v>
      </c>
      <c r="P24" s="235">
        <f t="shared" si="8"/>
        <v>0</v>
      </c>
      <c r="Q24" s="235">
        <f t="shared" si="9"/>
        <v>362.10150745940484</v>
      </c>
      <c r="R24" s="235">
        <f t="shared" si="10"/>
        <v>0</v>
      </c>
      <c r="S24" s="235">
        <f t="shared" si="11"/>
        <v>362.10150745940484</v>
      </c>
      <c r="T24" s="235">
        <f t="shared" si="12"/>
        <v>0</v>
      </c>
      <c r="U24" s="235">
        <f t="shared" si="13"/>
        <v>-362.10150745940484</v>
      </c>
      <c r="V24" s="235">
        <f t="shared" si="14"/>
        <v>0</v>
      </c>
      <c r="W24" s="235">
        <f t="shared" si="15"/>
        <v>-362.10150745940484</v>
      </c>
      <c r="Y24" s="235">
        <f t="shared" si="16"/>
        <v>95.370593474955385</v>
      </c>
      <c r="Z24" s="235">
        <f t="shared" si="17"/>
        <v>359.61630937913918</v>
      </c>
      <c r="AA24" s="235">
        <f t="shared" si="18"/>
        <v>-95.370593474955385</v>
      </c>
      <c r="AB24" s="235">
        <f t="shared" si="19"/>
        <v>359.61630937913918</v>
      </c>
      <c r="AC24" s="235">
        <f t="shared" si="20"/>
        <v>-95.370593474955385</v>
      </c>
      <c r="AD24" s="235">
        <f t="shared" si="21"/>
        <v>-359.61630937913918</v>
      </c>
      <c r="AE24" s="235">
        <f t="shared" si="22"/>
        <v>95.370593474955385</v>
      </c>
      <c r="AF24" s="235">
        <f t="shared" si="23"/>
        <v>-359.61630937913918</v>
      </c>
    </row>
    <row r="25" spans="2:32" x14ac:dyDescent="0.25">
      <c r="F25">
        <f t="shared" si="24"/>
        <v>21</v>
      </c>
      <c r="G25" s="235">
        <f t="shared" si="0"/>
        <v>100.13912314870315</v>
      </c>
      <c r="H25" s="235">
        <f t="shared" si="1"/>
        <v>351.63652547332322</v>
      </c>
      <c r="I25" s="235">
        <f t="shared" si="2"/>
        <v>-100.13912314870315</v>
      </c>
      <c r="J25" s="235">
        <f t="shared" si="3"/>
        <v>351.63652547332322</v>
      </c>
      <c r="K25" s="235">
        <f t="shared" si="4"/>
        <v>-100.13912314870315</v>
      </c>
      <c r="L25" s="235">
        <f t="shared" si="5"/>
        <v>-351.63652547332322</v>
      </c>
      <c r="M25" s="235">
        <f t="shared" si="6"/>
        <v>100.13912314870315</v>
      </c>
      <c r="N25" s="235">
        <f t="shared" si="7"/>
        <v>-351.63652547332322</v>
      </c>
      <c r="P25" s="235">
        <f t="shared" si="8"/>
        <v>0</v>
      </c>
      <c r="Q25" s="235">
        <f t="shared" si="9"/>
        <v>362.10150745940484</v>
      </c>
      <c r="R25" s="235">
        <f t="shared" si="10"/>
        <v>0</v>
      </c>
      <c r="S25" s="235">
        <f t="shared" si="11"/>
        <v>362.10150745940484</v>
      </c>
      <c r="T25" s="235">
        <f t="shared" si="12"/>
        <v>0</v>
      </c>
      <c r="U25" s="235">
        <f t="shared" si="13"/>
        <v>-362.10150745940484</v>
      </c>
      <c r="V25" s="235">
        <f t="shared" si="14"/>
        <v>0</v>
      </c>
      <c r="W25" s="235">
        <f t="shared" si="15"/>
        <v>-362.10150745940484</v>
      </c>
      <c r="Y25" s="235">
        <f t="shared" si="16"/>
        <v>100.13912314870315</v>
      </c>
      <c r="Z25" s="235">
        <f t="shared" si="17"/>
        <v>359.36060547707564</v>
      </c>
      <c r="AA25" s="235">
        <f t="shared" si="18"/>
        <v>-100.13912314870315</v>
      </c>
      <c r="AB25" s="235">
        <f t="shared" si="19"/>
        <v>359.36060547707564</v>
      </c>
      <c r="AC25" s="235">
        <f t="shared" si="20"/>
        <v>-100.13912314870315</v>
      </c>
      <c r="AD25" s="235">
        <f t="shared" si="21"/>
        <v>-359.36060547707564</v>
      </c>
      <c r="AE25" s="235">
        <f t="shared" si="22"/>
        <v>100.13912314870315</v>
      </c>
      <c r="AF25" s="235">
        <f t="shared" si="23"/>
        <v>-359.36060547707564</v>
      </c>
    </row>
    <row r="26" spans="2:32" x14ac:dyDescent="0.25">
      <c r="F26">
        <f t="shared" si="24"/>
        <v>22</v>
      </c>
      <c r="G26" s="235">
        <f t="shared" si="0"/>
        <v>104.90765282245091</v>
      </c>
      <c r="H26" s="235">
        <f t="shared" si="1"/>
        <v>350.87418439837086</v>
      </c>
      <c r="I26" s="235">
        <f t="shared" si="2"/>
        <v>-104.90765282245091</v>
      </c>
      <c r="J26" s="235">
        <f t="shared" si="3"/>
        <v>350.87418439837086</v>
      </c>
      <c r="K26" s="235">
        <f t="shared" si="4"/>
        <v>-104.90765282245091</v>
      </c>
      <c r="L26" s="235">
        <f t="shared" si="5"/>
        <v>-350.87418439837086</v>
      </c>
      <c r="M26" s="235">
        <f t="shared" si="6"/>
        <v>104.90765282245091</v>
      </c>
      <c r="N26" s="235">
        <f t="shared" si="7"/>
        <v>-350.87418439837086</v>
      </c>
      <c r="P26" s="235">
        <f t="shared" si="8"/>
        <v>0</v>
      </c>
      <c r="Q26" s="235">
        <f t="shared" si="9"/>
        <v>362.10150745940484</v>
      </c>
      <c r="R26" s="235">
        <f t="shared" si="10"/>
        <v>0</v>
      </c>
      <c r="S26" s="235">
        <f t="shared" si="11"/>
        <v>362.10150745940484</v>
      </c>
      <c r="T26" s="235">
        <f t="shared" si="12"/>
        <v>0</v>
      </c>
      <c r="U26" s="235">
        <f t="shared" si="13"/>
        <v>-362.10150745940484</v>
      </c>
      <c r="V26" s="235">
        <f t="shared" si="14"/>
        <v>0</v>
      </c>
      <c r="W26" s="235">
        <f t="shared" si="15"/>
        <v>-362.10150745940484</v>
      </c>
      <c r="Y26" s="235">
        <f t="shared" si="16"/>
        <v>104.90765282245091</v>
      </c>
      <c r="Z26" s="235">
        <f t="shared" si="17"/>
        <v>359.09223259152174</v>
      </c>
      <c r="AA26" s="235">
        <f t="shared" si="18"/>
        <v>-104.90765282245091</v>
      </c>
      <c r="AB26" s="235">
        <f t="shared" si="19"/>
        <v>359.09223259152174</v>
      </c>
      <c r="AC26" s="235">
        <f t="shared" si="20"/>
        <v>-104.90765282245091</v>
      </c>
      <c r="AD26" s="235">
        <f t="shared" si="21"/>
        <v>-359.09223259152174</v>
      </c>
      <c r="AE26" s="235">
        <f t="shared" si="22"/>
        <v>104.90765282245091</v>
      </c>
      <c r="AF26" s="235">
        <f t="shared" si="23"/>
        <v>-359.09223259152174</v>
      </c>
    </row>
    <row r="27" spans="2:32" x14ac:dyDescent="0.25">
      <c r="F27">
        <f t="shared" si="24"/>
        <v>23</v>
      </c>
      <c r="G27" s="235">
        <f t="shared" si="0"/>
        <v>109.67618249619869</v>
      </c>
      <c r="H27" s="235">
        <f t="shared" si="1"/>
        <v>350.09345651368761</v>
      </c>
      <c r="I27" s="235">
        <f t="shared" si="2"/>
        <v>-109.67618249619869</v>
      </c>
      <c r="J27" s="235">
        <f t="shared" si="3"/>
        <v>350.09345651368761</v>
      </c>
      <c r="K27" s="235">
        <f t="shared" si="4"/>
        <v>-109.67618249619869</v>
      </c>
      <c r="L27" s="235">
        <f t="shared" si="5"/>
        <v>-350.09345651368761</v>
      </c>
      <c r="M27" s="235">
        <f t="shared" si="6"/>
        <v>109.67618249619869</v>
      </c>
      <c r="N27" s="235">
        <f t="shared" si="7"/>
        <v>-350.09345651368761</v>
      </c>
      <c r="P27" s="235">
        <f t="shared" si="8"/>
        <v>0</v>
      </c>
      <c r="Q27" s="235">
        <f t="shared" si="9"/>
        <v>362.10150745940484</v>
      </c>
      <c r="R27" s="235">
        <f t="shared" si="10"/>
        <v>0</v>
      </c>
      <c r="S27" s="235">
        <f t="shared" si="11"/>
        <v>362.10150745940484</v>
      </c>
      <c r="T27" s="235">
        <f t="shared" si="12"/>
        <v>0</v>
      </c>
      <c r="U27" s="235">
        <f t="shared" si="13"/>
        <v>-362.10150745940484</v>
      </c>
      <c r="V27" s="235">
        <f t="shared" si="14"/>
        <v>0</v>
      </c>
      <c r="W27" s="235">
        <f t="shared" si="15"/>
        <v>-362.10150745940484</v>
      </c>
      <c r="Y27" s="235">
        <f t="shared" si="16"/>
        <v>109.67618249619869</v>
      </c>
      <c r="Z27" s="235">
        <f t="shared" si="17"/>
        <v>358.81116229517198</v>
      </c>
      <c r="AA27" s="235">
        <f t="shared" si="18"/>
        <v>-109.67618249619869</v>
      </c>
      <c r="AB27" s="235">
        <f t="shared" si="19"/>
        <v>358.81116229517198</v>
      </c>
      <c r="AC27" s="235">
        <f t="shared" si="20"/>
        <v>-109.67618249619869</v>
      </c>
      <c r="AD27" s="235">
        <f t="shared" si="21"/>
        <v>-358.81116229517198</v>
      </c>
      <c r="AE27" s="235">
        <f t="shared" si="22"/>
        <v>109.67618249619869</v>
      </c>
      <c r="AF27" s="235">
        <f t="shared" si="23"/>
        <v>-358.81116229517198</v>
      </c>
    </row>
    <row r="28" spans="2:32" x14ac:dyDescent="0.25">
      <c r="F28">
        <f t="shared" si="24"/>
        <v>24</v>
      </c>
      <c r="G28" s="235">
        <f t="shared" si="0"/>
        <v>114.44471216994646</v>
      </c>
      <c r="H28" s="235">
        <f t="shared" si="1"/>
        <v>349.29466587339016</v>
      </c>
      <c r="I28" s="235">
        <f t="shared" si="2"/>
        <v>-114.44471216994646</v>
      </c>
      <c r="J28" s="235">
        <f t="shared" si="3"/>
        <v>349.29466587339016</v>
      </c>
      <c r="K28" s="235">
        <f t="shared" si="4"/>
        <v>-114.44471216994646</v>
      </c>
      <c r="L28" s="235">
        <f t="shared" si="5"/>
        <v>-349.29466587339016</v>
      </c>
      <c r="M28" s="235">
        <f t="shared" si="6"/>
        <v>114.44471216994646</v>
      </c>
      <c r="N28" s="235">
        <f t="shared" si="7"/>
        <v>-349.29466587339016</v>
      </c>
      <c r="P28" s="235">
        <f t="shared" si="8"/>
        <v>0</v>
      </c>
      <c r="Q28" s="235">
        <f t="shared" si="9"/>
        <v>362.10150745940484</v>
      </c>
      <c r="R28" s="235">
        <f t="shared" si="10"/>
        <v>0</v>
      </c>
      <c r="S28" s="235">
        <f t="shared" si="11"/>
        <v>362.10150745940484</v>
      </c>
      <c r="T28" s="235">
        <f t="shared" si="12"/>
        <v>0</v>
      </c>
      <c r="U28" s="235">
        <f t="shared" si="13"/>
        <v>-362.10150745940484</v>
      </c>
      <c r="V28" s="235">
        <f t="shared" si="14"/>
        <v>0</v>
      </c>
      <c r="W28" s="235">
        <f t="shared" si="15"/>
        <v>-362.10150745940484</v>
      </c>
      <c r="Y28" s="235">
        <f t="shared" si="16"/>
        <v>114.44471216994646</v>
      </c>
      <c r="Z28" s="235">
        <f t="shared" si="17"/>
        <v>358.51736472449477</v>
      </c>
      <c r="AA28" s="235">
        <f t="shared" si="18"/>
        <v>-114.44471216994646</v>
      </c>
      <c r="AB28" s="235">
        <f t="shared" si="19"/>
        <v>358.51736472449477</v>
      </c>
      <c r="AC28" s="235">
        <f t="shared" si="20"/>
        <v>-114.44471216994646</v>
      </c>
      <c r="AD28" s="235">
        <f t="shared" si="21"/>
        <v>-358.51736472449477</v>
      </c>
      <c r="AE28" s="235">
        <f t="shared" si="22"/>
        <v>114.44471216994646</v>
      </c>
      <c r="AF28" s="235">
        <f t="shared" si="23"/>
        <v>-358.51736472449477</v>
      </c>
    </row>
    <row r="29" spans="2:32" x14ac:dyDescent="0.25">
      <c r="F29">
        <f t="shared" si="24"/>
        <v>25</v>
      </c>
      <c r="G29" s="235">
        <f t="shared" si="0"/>
        <v>119.21324184369422</v>
      </c>
      <c r="H29" s="235">
        <f t="shared" si="1"/>
        <v>348.47811198748059</v>
      </c>
      <c r="I29" s="235">
        <f t="shared" si="2"/>
        <v>-119.21324184369422</v>
      </c>
      <c r="J29" s="235">
        <f t="shared" si="3"/>
        <v>348.47811198748059</v>
      </c>
      <c r="K29" s="235">
        <f t="shared" si="4"/>
        <v>-119.21324184369422</v>
      </c>
      <c r="L29" s="235">
        <f t="shared" si="5"/>
        <v>-348.47811198748059</v>
      </c>
      <c r="M29" s="235">
        <f t="shared" si="6"/>
        <v>119.21324184369422</v>
      </c>
      <c r="N29" s="235">
        <f t="shared" si="7"/>
        <v>-348.47811198748059</v>
      </c>
      <c r="P29" s="235">
        <f t="shared" si="8"/>
        <v>0</v>
      </c>
      <c r="Q29" s="235">
        <f t="shared" si="9"/>
        <v>362.10150745940484</v>
      </c>
      <c r="R29" s="235">
        <f t="shared" si="10"/>
        <v>0</v>
      </c>
      <c r="S29" s="235">
        <f t="shared" si="11"/>
        <v>362.10150745940484</v>
      </c>
      <c r="T29" s="235">
        <f t="shared" si="12"/>
        <v>0</v>
      </c>
      <c r="U29" s="235">
        <f t="shared" si="13"/>
        <v>-362.10150745940484</v>
      </c>
      <c r="V29" s="235">
        <f t="shared" si="14"/>
        <v>0</v>
      </c>
      <c r="W29" s="235">
        <f t="shared" si="15"/>
        <v>-362.10150745940484</v>
      </c>
      <c r="Y29" s="235">
        <f t="shared" si="16"/>
        <v>119.21324184369422</v>
      </c>
      <c r="Z29" s="235">
        <f t="shared" si="17"/>
        <v>358.21080856349948</v>
      </c>
      <c r="AA29" s="235">
        <f t="shared" si="18"/>
        <v>-119.21324184369422</v>
      </c>
      <c r="AB29" s="235">
        <f t="shared" si="19"/>
        <v>358.21080856349948</v>
      </c>
      <c r="AC29" s="235">
        <f t="shared" si="20"/>
        <v>-119.21324184369422</v>
      </c>
      <c r="AD29" s="235">
        <f t="shared" si="21"/>
        <v>-358.21080856349948</v>
      </c>
      <c r="AE29" s="235">
        <f t="shared" si="22"/>
        <v>119.21324184369422</v>
      </c>
      <c r="AF29" s="235">
        <f t="shared" si="23"/>
        <v>-358.21080856349948</v>
      </c>
    </row>
    <row r="30" spans="2:32" x14ac:dyDescent="0.25">
      <c r="F30">
        <f t="shared" si="24"/>
        <v>26</v>
      </c>
      <c r="G30" s="235">
        <f t="shared" si="0"/>
        <v>123.981771517442</v>
      </c>
      <c r="H30" s="235">
        <f t="shared" si="1"/>
        <v>347.64407223092343</v>
      </c>
      <c r="I30" s="235">
        <f t="shared" si="2"/>
        <v>-123.981771517442</v>
      </c>
      <c r="J30" s="235">
        <f t="shared" si="3"/>
        <v>347.64407223092343</v>
      </c>
      <c r="K30" s="235">
        <f t="shared" si="4"/>
        <v>-123.981771517442</v>
      </c>
      <c r="L30" s="235">
        <f t="shared" si="5"/>
        <v>-347.64407223092343</v>
      </c>
      <c r="M30" s="235">
        <f t="shared" si="6"/>
        <v>123.981771517442</v>
      </c>
      <c r="N30" s="235">
        <f t="shared" si="7"/>
        <v>-347.64407223092343</v>
      </c>
      <c r="P30" s="235">
        <f t="shared" si="8"/>
        <v>0</v>
      </c>
      <c r="Q30" s="235">
        <f t="shared" si="9"/>
        <v>362.10150745940484</v>
      </c>
      <c r="R30" s="235">
        <f t="shared" si="10"/>
        <v>0</v>
      </c>
      <c r="S30" s="235">
        <f t="shared" si="11"/>
        <v>362.10150745940484</v>
      </c>
      <c r="T30" s="235">
        <f t="shared" si="12"/>
        <v>0</v>
      </c>
      <c r="U30" s="235">
        <f t="shared" si="13"/>
        <v>-362.10150745940484</v>
      </c>
      <c r="V30" s="235">
        <f t="shared" si="14"/>
        <v>0</v>
      </c>
      <c r="W30" s="235">
        <f t="shared" si="15"/>
        <v>-362.10150745940484</v>
      </c>
      <c r="Y30" s="235">
        <f t="shared" si="16"/>
        <v>123.981771517442</v>
      </c>
      <c r="Z30" s="235">
        <f t="shared" si="17"/>
        <v>357.89146102662363</v>
      </c>
      <c r="AA30" s="235">
        <f t="shared" si="18"/>
        <v>-123.981771517442</v>
      </c>
      <c r="AB30" s="235">
        <f t="shared" si="19"/>
        <v>357.89146102662363</v>
      </c>
      <c r="AC30" s="235">
        <f t="shared" si="20"/>
        <v>-123.981771517442</v>
      </c>
      <c r="AD30" s="235">
        <f t="shared" si="21"/>
        <v>-357.89146102662363</v>
      </c>
      <c r="AE30" s="235">
        <f t="shared" si="22"/>
        <v>123.981771517442</v>
      </c>
      <c r="AF30" s="235">
        <f t="shared" si="23"/>
        <v>-357.89146102662363</v>
      </c>
    </row>
    <row r="31" spans="2:32" x14ac:dyDescent="0.25">
      <c r="F31">
        <f t="shared" si="24"/>
        <v>27</v>
      </c>
      <c r="G31" s="235">
        <f t="shared" si="0"/>
        <v>128.75030119118975</v>
      </c>
      <c r="H31" s="235">
        <f t="shared" si="1"/>
        <v>346.79280392197461</v>
      </c>
      <c r="I31" s="235">
        <f t="shared" si="2"/>
        <v>-128.75030119118975</v>
      </c>
      <c r="J31" s="235">
        <f t="shared" si="3"/>
        <v>346.79280392197461</v>
      </c>
      <c r="K31" s="235">
        <f t="shared" si="4"/>
        <v>-128.75030119118975</v>
      </c>
      <c r="L31" s="235">
        <f t="shared" si="5"/>
        <v>-346.79280392197461</v>
      </c>
      <c r="M31" s="235">
        <f t="shared" si="6"/>
        <v>128.75030119118975</v>
      </c>
      <c r="N31" s="235">
        <f t="shared" si="7"/>
        <v>-346.79280392197461</v>
      </c>
      <c r="P31" s="235">
        <f t="shared" si="8"/>
        <v>0</v>
      </c>
      <c r="Q31" s="235">
        <f t="shared" si="9"/>
        <v>362.10150745940484</v>
      </c>
      <c r="R31" s="235">
        <f t="shared" si="10"/>
        <v>0</v>
      </c>
      <c r="S31" s="235">
        <f t="shared" si="11"/>
        <v>362.10150745940484</v>
      </c>
      <c r="T31" s="235">
        <f t="shared" si="12"/>
        <v>0</v>
      </c>
      <c r="U31" s="235">
        <f t="shared" si="13"/>
        <v>-362.10150745940484</v>
      </c>
      <c r="V31" s="235">
        <f t="shared" si="14"/>
        <v>0</v>
      </c>
      <c r="W31" s="235">
        <f t="shared" si="15"/>
        <v>-362.10150745940484</v>
      </c>
      <c r="Y31" s="235">
        <f t="shared" si="16"/>
        <v>128.75030119118975</v>
      </c>
      <c r="Z31" s="235">
        <f t="shared" si="17"/>
        <v>357.55928784071864</v>
      </c>
      <c r="AA31" s="235">
        <f t="shared" si="18"/>
        <v>-128.75030119118975</v>
      </c>
      <c r="AB31" s="235">
        <f t="shared" si="19"/>
        <v>357.55928784071864</v>
      </c>
      <c r="AC31" s="235">
        <f t="shared" si="20"/>
        <v>-128.75030119118975</v>
      </c>
      <c r="AD31" s="235">
        <f t="shared" si="21"/>
        <v>-357.55928784071864</v>
      </c>
      <c r="AE31" s="235">
        <f t="shared" si="22"/>
        <v>128.75030119118975</v>
      </c>
      <c r="AF31" s="235">
        <f t="shared" si="23"/>
        <v>-357.55928784071864</v>
      </c>
    </row>
    <row r="32" spans="2:32" x14ac:dyDescent="0.25">
      <c r="F32">
        <f t="shared" si="24"/>
        <v>28</v>
      </c>
      <c r="G32" s="235">
        <f t="shared" si="0"/>
        <v>133.51883086493754</v>
      </c>
      <c r="H32" s="235">
        <f t="shared" si="1"/>
        <v>345.92454612542446</v>
      </c>
      <c r="I32" s="235">
        <f t="shared" si="2"/>
        <v>-133.51883086493754</v>
      </c>
      <c r="J32" s="235">
        <f t="shared" si="3"/>
        <v>345.92454612542446</v>
      </c>
      <c r="K32" s="235">
        <f t="shared" si="4"/>
        <v>-133.51883086493754</v>
      </c>
      <c r="L32" s="235">
        <f t="shared" si="5"/>
        <v>-345.92454612542446</v>
      </c>
      <c r="M32" s="235">
        <f t="shared" si="6"/>
        <v>133.51883086493754</v>
      </c>
      <c r="N32" s="235">
        <f t="shared" si="7"/>
        <v>-345.92454612542446</v>
      </c>
      <c r="P32" s="235">
        <f t="shared" si="8"/>
        <v>0</v>
      </c>
      <c r="Q32" s="235">
        <f t="shared" si="9"/>
        <v>362.10150745940484</v>
      </c>
      <c r="R32" s="235">
        <f t="shared" si="10"/>
        <v>0</v>
      </c>
      <c r="S32" s="235">
        <f t="shared" si="11"/>
        <v>362.10150745940484</v>
      </c>
      <c r="T32" s="235">
        <f t="shared" si="12"/>
        <v>0</v>
      </c>
      <c r="U32" s="235">
        <f t="shared" si="13"/>
        <v>-362.10150745940484</v>
      </c>
      <c r="V32" s="235">
        <f t="shared" si="14"/>
        <v>0</v>
      </c>
      <c r="W32" s="235">
        <f t="shared" si="15"/>
        <v>-362.10150745940484</v>
      </c>
      <c r="Y32" s="235">
        <f t="shared" si="16"/>
        <v>133.51883086493754</v>
      </c>
      <c r="Z32" s="235">
        <f t="shared" si="17"/>
        <v>357.21425322611088</v>
      </c>
      <c r="AA32" s="235">
        <f t="shared" si="18"/>
        <v>-133.51883086493754</v>
      </c>
      <c r="AB32" s="235">
        <f t="shared" si="19"/>
        <v>357.21425322611088</v>
      </c>
      <c r="AC32" s="235">
        <f t="shared" si="20"/>
        <v>-133.51883086493754</v>
      </c>
      <c r="AD32" s="235">
        <f t="shared" si="21"/>
        <v>-357.21425322611088</v>
      </c>
      <c r="AE32" s="235">
        <f t="shared" si="22"/>
        <v>133.51883086493754</v>
      </c>
      <c r="AF32" s="235">
        <f t="shared" si="23"/>
        <v>-357.21425322611088</v>
      </c>
    </row>
    <row r="33" spans="6:32" x14ac:dyDescent="0.25">
      <c r="F33">
        <f t="shared" si="24"/>
        <v>29</v>
      </c>
      <c r="G33" s="235">
        <f t="shared" si="0"/>
        <v>138.28736053868531</v>
      </c>
      <c r="H33" s="235">
        <f t="shared" si="1"/>
        <v>345.03952122535645</v>
      </c>
      <c r="I33" s="235">
        <f t="shared" si="2"/>
        <v>-138.28736053868531</v>
      </c>
      <c r="J33" s="235">
        <f t="shared" si="3"/>
        <v>345.03952122535645</v>
      </c>
      <c r="K33" s="235">
        <f t="shared" si="4"/>
        <v>-138.28736053868531</v>
      </c>
      <c r="L33" s="235">
        <f t="shared" si="5"/>
        <v>-345.03952122535645</v>
      </c>
      <c r="M33" s="235">
        <f t="shared" si="6"/>
        <v>138.28736053868531</v>
      </c>
      <c r="N33" s="235">
        <f t="shared" si="7"/>
        <v>-345.03952122535645</v>
      </c>
      <c r="P33" s="235">
        <f t="shared" si="8"/>
        <v>0</v>
      </c>
      <c r="Q33" s="235">
        <f t="shared" si="9"/>
        <v>362.10150745940484</v>
      </c>
      <c r="R33" s="235">
        <f t="shared" si="10"/>
        <v>0</v>
      </c>
      <c r="S33" s="235">
        <f t="shared" si="11"/>
        <v>362.10150745940484</v>
      </c>
      <c r="T33" s="235">
        <f t="shared" si="12"/>
        <v>0</v>
      </c>
      <c r="U33" s="235">
        <f t="shared" si="13"/>
        <v>-362.10150745940484</v>
      </c>
      <c r="V33" s="235">
        <f t="shared" si="14"/>
        <v>0</v>
      </c>
      <c r="W33" s="235">
        <f t="shared" si="15"/>
        <v>-362.10150745940484</v>
      </c>
      <c r="Y33" s="235">
        <f t="shared" si="16"/>
        <v>138.28736053868531</v>
      </c>
      <c r="Z33" s="235">
        <f t="shared" si="17"/>
        <v>356.85631987671132</v>
      </c>
      <c r="AA33" s="235">
        <f t="shared" si="18"/>
        <v>-138.28736053868531</v>
      </c>
      <c r="AB33" s="235">
        <f t="shared" si="19"/>
        <v>356.85631987671132</v>
      </c>
      <c r="AC33" s="235">
        <f t="shared" si="20"/>
        <v>-138.28736053868531</v>
      </c>
      <c r="AD33" s="235">
        <f t="shared" si="21"/>
        <v>-356.85631987671132</v>
      </c>
      <c r="AE33" s="235">
        <f t="shared" si="22"/>
        <v>138.28736053868531</v>
      </c>
      <c r="AF33" s="235">
        <f t="shared" si="23"/>
        <v>-356.85631987671132</v>
      </c>
    </row>
    <row r="34" spans="6:32" x14ac:dyDescent="0.25">
      <c r="F34">
        <f t="shared" si="24"/>
        <v>30</v>
      </c>
      <c r="G34" s="235">
        <f t="shared" si="0"/>
        <v>143.05589021243307</v>
      </c>
      <c r="H34" s="235">
        <f t="shared" si="1"/>
        <v>344.13793630347084</v>
      </c>
      <c r="I34" s="235">
        <f t="shared" si="2"/>
        <v>-143.05589021243307</v>
      </c>
      <c r="J34" s="235">
        <f t="shared" si="3"/>
        <v>344.13793630347084</v>
      </c>
      <c r="K34" s="235">
        <f t="shared" si="4"/>
        <v>-143.05589021243307</v>
      </c>
      <c r="L34" s="235">
        <f t="shared" si="5"/>
        <v>-344.13793630347084</v>
      </c>
      <c r="M34" s="235">
        <f t="shared" si="6"/>
        <v>143.05589021243307</v>
      </c>
      <c r="N34" s="235">
        <f t="shared" si="7"/>
        <v>-344.13793630347084</v>
      </c>
      <c r="P34" s="235">
        <f t="shared" si="8"/>
        <v>0</v>
      </c>
      <c r="Q34" s="235">
        <f t="shared" si="9"/>
        <v>362.10150745940484</v>
      </c>
      <c r="R34" s="235">
        <f t="shared" si="10"/>
        <v>0</v>
      </c>
      <c r="S34" s="235">
        <f t="shared" si="11"/>
        <v>362.10150745940484</v>
      </c>
      <c r="T34" s="235">
        <f t="shared" si="12"/>
        <v>0</v>
      </c>
      <c r="U34" s="235">
        <f t="shared" si="13"/>
        <v>-362.10150745940484</v>
      </c>
      <c r="V34" s="235">
        <f t="shared" si="14"/>
        <v>0</v>
      </c>
      <c r="W34" s="235">
        <f t="shared" si="15"/>
        <v>-362.10150745940484</v>
      </c>
      <c r="Y34" s="235">
        <f t="shared" si="16"/>
        <v>143.05589021243307</v>
      </c>
      <c r="Z34" s="235">
        <f t="shared" si="17"/>
        <v>356.48544893914936</v>
      </c>
      <c r="AA34" s="235">
        <f t="shared" si="18"/>
        <v>-143.05589021243307</v>
      </c>
      <c r="AB34" s="235">
        <f t="shared" si="19"/>
        <v>356.48544893914936</v>
      </c>
      <c r="AC34" s="235">
        <f t="shared" si="20"/>
        <v>-143.05589021243307</v>
      </c>
      <c r="AD34" s="235">
        <f t="shared" si="21"/>
        <v>-356.48544893914936</v>
      </c>
      <c r="AE34" s="235">
        <f t="shared" si="22"/>
        <v>143.05589021243307</v>
      </c>
      <c r="AF34" s="235">
        <f t="shared" si="23"/>
        <v>-356.48544893914936</v>
      </c>
    </row>
    <row r="35" spans="6:32" x14ac:dyDescent="0.25">
      <c r="F35">
        <f t="shared" si="24"/>
        <v>31</v>
      </c>
      <c r="G35" s="235">
        <f t="shared" si="0"/>
        <v>147.82441988618083</v>
      </c>
      <c r="H35" s="235">
        <f t="shared" si="1"/>
        <v>343.21998435234212</v>
      </c>
      <c r="I35" s="235">
        <f t="shared" si="2"/>
        <v>-147.82441988618083</v>
      </c>
      <c r="J35" s="235">
        <f t="shared" si="3"/>
        <v>343.21998435234212</v>
      </c>
      <c r="K35" s="235">
        <f t="shared" si="4"/>
        <v>-147.82441988618083</v>
      </c>
      <c r="L35" s="235">
        <f t="shared" si="5"/>
        <v>-343.21998435234212</v>
      </c>
      <c r="M35" s="235">
        <f t="shared" si="6"/>
        <v>147.82441988618083</v>
      </c>
      <c r="N35" s="235">
        <f t="shared" si="7"/>
        <v>-343.21998435234212</v>
      </c>
      <c r="P35" s="235">
        <f t="shared" si="8"/>
        <v>0</v>
      </c>
      <c r="Q35" s="235">
        <f t="shared" si="9"/>
        <v>362.10150745940484</v>
      </c>
      <c r="R35" s="235">
        <f t="shared" si="10"/>
        <v>0</v>
      </c>
      <c r="S35" s="235">
        <f t="shared" si="11"/>
        <v>362.10150745940484</v>
      </c>
      <c r="T35" s="235">
        <f t="shared" si="12"/>
        <v>0</v>
      </c>
      <c r="U35" s="235">
        <f t="shared" si="13"/>
        <v>-362.10150745940484</v>
      </c>
      <c r="V35" s="235">
        <f t="shared" si="14"/>
        <v>0</v>
      </c>
      <c r="W35" s="235">
        <f t="shared" si="15"/>
        <v>-362.10150745940484</v>
      </c>
      <c r="Y35" s="235">
        <f t="shared" si="16"/>
        <v>147.82441988618083</v>
      </c>
      <c r="Z35" s="235">
        <f t="shared" si="17"/>
        <v>356.10159999090075</v>
      </c>
      <c r="AA35" s="235">
        <f t="shared" si="18"/>
        <v>-147.82441988618083</v>
      </c>
      <c r="AB35" s="235">
        <f t="shared" si="19"/>
        <v>356.10159999090075</v>
      </c>
      <c r="AC35" s="235">
        <f t="shared" si="20"/>
        <v>-147.82441988618083</v>
      </c>
      <c r="AD35" s="235">
        <f t="shared" si="21"/>
        <v>-356.10159999090075</v>
      </c>
      <c r="AE35" s="235">
        <f t="shared" si="22"/>
        <v>147.82441988618083</v>
      </c>
      <c r="AF35" s="235">
        <f t="shared" si="23"/>
        <v>-356.10159999090075</v>
      </c>
    </row>
    <row r="36" spans="6:32" x14ac:dyDescent="0.25">
      <c r="F36">
        <f t="shared" si="24"/>
        <v>32</v>
      </c>
      <c r="G36" s="235">
        <f t="shared" si="0"/>
        <v>152.5929495599286</v>
      </c>
      <c r="H36" s="235">
        <f t="shared" si="1"/>
        <v>342.28584534771159</v>
      </c>
      <c r="I36" s="235">
        <f t="shared" si="2"/>
        <v>-152.5929495599286</v>
      </c>
      <c r="J36" s="235">
        <f t="shared" si="3"/>
        <v>342.28584534771159</v>
      </c>
      <c r="K36" s="235">
        <f t="shared" si="4"/>
        <v>-152.5929495599286</v>
      </c>
      <c r="L36" s="235">
        <f t="shared" si="5"/>
        <v>-342.28584534771159</v>
      </c>
      <c r="M36" s="235">
        <f t="shared" si="6"/>
        <v>152.5929495599286</v>
      </c>
      <c r="N36" s="235">
        <f t="shared" si="7"/>
        <v>-342.28584534771159</v>
      </c>
      <c r="P36" s="235">
        <f t="shared" si="8"/>
        <v>0</v>
      </c>
      <c r="Q36" s="235">
        <f t="shared" si="9"/>
        <v>362.10150745940484</v>
      </c>
      <c r="R36" s="235">
        <f t="shared" si="10"/>
        <v>0</v>
      </c>
      <c r="S36" s="235">
        <f t="shared" si="11"/>
        <v>362.10150745940484</v>
      </c>
      <c r="T36" s="235">
        <f t="shared" si="12"/>
        <v>0</v>
      </c>
      <c r="U36" s="235">
        <f t="shared" si="13"/>
        <v>-362.10150745940484</v>
      </c>
      <c r="V36" s="235">
        <f t="shared" si="14"/>
        <v>0</v>
      </c>
      <c r="W36" s="235">
        <f t="shared" si="15"/>
        <v>-362.10150745940484</v>
      </c>
      <c r="Y36" s="235">
        <f t="shared" si="16"/>
        <v>152.5929495599286</v>
      </c>
      <c r="Z36" s="235">
        <f t="shared" si="17"/>
        <v>355.70473101738139</v>
      </c>
      <c r="AA36" s="235">
        <f t="shared" si="18"/>
        <v>-152.5929495599286</v>
      </c>
      <c r="AB36" s="235">
        <f t="shared" si="19"/>
        <v>355.70473101738139</v>
      </c>
      <c r="AC36" s="235">
        <f t="shared" si="20"/>
        <v>-152.5929495599286</v>
      </c>
      <c r="AD36" s="235">
        <f t="shared" si="21"/>
        <v>-355.70473101738139</v>
      </c>
      <c r="AE36" s="235">
        <f t="shared" si="22"/>
        <v>152.5929495599286</v>
      </c>
      <c r="AF36" s="235">
        <f t="shared" si="23"/>
        <v>-355.70473101738139</v>
      </c>
    </row>
    <row r="37" spans="6:32" x14ac:dyDescent="0.25">
      <c r="F37">
        <f t="shared" si="24"/>
        <v>33</v>
      </c>
      <c r="G37" s="235">
        <f t="shared" si="0"/>
        <v>157.36147923367636</v>
      </c>
      <c r="H37" s="235">
        <f t="shared" si="1"/>
        <v>341.33568719973215</v>
      </c>
      <c r="I37" s="235">
        <f t="shared" si="2"/>
        <v>-157.36147923367636</v>
      </c>
      <c r="J37" s="235">
        <f t="shared" si="3"/>
        <v>341.33568719973215</v>
      </c>
      <c r="K37" s="235">
        <f t="shared" si="4"/>
        <v>-157.36147923367636</v>
      </c>
      <c r="L37" s="235">
        <f t="shared" si="5"/>
        <v>-341.33568719973215</v>
      </c>
      <c r="M37" s="235">
        <f t="shared" si="6"/>
        <v>157.36147923367636</v>
      </c>
      <c r="N37" s="235">
        <f t="shared" si="7"/>
        <v>-341.33568719973215</v>
      </c>
      <c r="P37" s="235">
        <f t="shared" si="8"/>
        <v>0</v>
      </c>
      <c r="Q37" s="235">
        <f t="shared" si="9"/>
        <v>362.10150745940484</v>
      </c>
      <c r="R37" s="235">
        <f t="shared" si="10"/>
        <v>0</v>
      </c>
      <c r="S37" s="235">
        <f t="shared" si="11"/>
        <v>362.10150745940484</v>
      </c>
      <c r="T37" s="235">
        <f t="shared" si="12"/>
        <v>0</v>
      </c>
      <c r="U37" s="235">
        <f t="shared" si="13"/>
        <v>-362.10150745940484</v>
      </c>
      <c r="V37" s="235">
        <f t="shared" si="14"/>
        <v>0</v>
      </c>
      <c r="W37" s="235">
        <f t="shared" si="15"/>
        <v>-362.10150745940484</v>
      </c>
      <c r="Y37" s="235">
        <f t="shared" si="16"/>
        <v>157.36147923367636</v>
      </c>
      <c r="Z37" s="235">
        <f t="shared" si="17"/>
        <v>355.29479838797425</v>
      </c>
      <c r="AA37" s="235">
        <f t="shared" si="18"/>
        <v>-157.36147923367636</v>
      </c>
      <c r="AB37" s="235">
        <f t="shared" si="19"/>
        <v>355.29479838797425</v>
      </c>
      <c r="AC37" s="235">
        <f t="shared" si="20"/>
        <v>-157.36147923367636</v>
      </c>
      <c r="AD37" s="235">
        <f t="shared" si="21"/>
        <v>-355.29479838797425</v>
      </c>
      <c r="AE37" s="235">
        <f t="shared" si="22"/>
        <v>157.36147923367636</v>
      </c>
      <c r="AF37" s="235">
        <f t="shared" si="23"/>
        <v>-355.29479838797425</v>
      </c>
    </row>
    <row r="38" spans="6:32" x14ac:dyDescent="0.25">
      <c r="F38">
        <f t="shared" si="24"/>
        <v>34</v>
      </c>
      <c r="G38" s="235">
        <f t="shared" si="0"/>
        <v>162.13000890742416</v>
      </c>
      <c r="H38" s="235">
        <f t="shared" si="1"/>
        <v>340.36966659972626</v>
      </c>
      <c r="I38" s="235">
        <f t="shared" si="2"/>
        <v>-162.13000890742416</v>
      </c>
      <c r="J38" s="235">
        <f t="shared" si="3"/>
        <v>340.36966659972626</v>
      </c>
      <c r="K38" s="235">
        <f t="shared" si="4"/>
        <v>-162.13000890742416</v>
      </c>
      <c r="L38" s="235">
        <f t="shared" si="5"/>
        <v>-340.36966659972626</v>
      </c>
      <c r="M38" s="235">
        <f t="shared" si="6"/>
        <v>162.13000890742416</v>
      </c>
      <c r="N38" s="235">
        <f t="shared" si="7"/>
        <v>-340.36966659972626</v>
      </c>
      <c r="P38" s="235">
        <f t="shared" si="8"/>
        <v>0</v>
      </c>
      <c r="Q38" s="235">
        <f t="shared" si="9"/>
        <v>362.10150745940484</v>
      </c>
      <c r="R38" s="235">
        <f t="shared" si="10"/>
        <v>0</v>
      </c>
      <c r="S38" s="235">
        <f t="shared" si="11"/>
        <v>362.10150745940484</v>
      </c>
      <c r="T38" s="235">
        <f t="shared" si="12"/>
        <v>0</v>
      </c>
      <c r="U38" s="235">
        <f t="shared" si="13"/>
        <v>-362.10150745940484</v>
      </c>
      <c r="V38" s="235">
        <f t="shared" si="14"/>
        <v>0</v>
      </c>
      <c r="W38" s="235">
        <f t="shared" si="15"/>
        <v>-362.10150745940484</v>
      </c>
      <c r="Y38" s="235">
        <f t="shared" si="16"/>
        <v>162.13000890742416</v>
      </c>
      <c r="Z38" s="235">
        <f t="shared" si="17"/>
        <v>354.87175683095774</v>
      </c>
      <c r="AA38" s="235">
        <f t="shared" si="18"/>
        <v>-162.13000890742416</v>
      </c>
      <c r="AB38" s="235">
        <f t="shared" si="19"/>
        <v>354.87175683095774</v>
      </c>
      <c r="AC38" s="235">
        <f t="shared" si="20"/>
        <v>-162.13000890742416</v>
      </c>
      <c r="AD38" s="235">
        <f t="shared" si="21"/>
        <v>-354.87175683095774</v>
      </c>
      <c r="AE38" s="235">
        <f t="shared" si="22"/>
        <v>162.13000890742416</v>
      </c>
      <c r="AF38" s="235">
        <f t="shared" si="23"/>
        <v>-354.87175683095774</v>
      </c>
    </row>
    <row r="39" spans="6:32" x14ac:dyDescent="0.25">
      <c r="F39">
        <f t="shared" si="24"/>
        <v>35</v>
      </c>
      <c r="G39" s="235">
        <f t="shared" si="0"/>
        <v>166.89853858117192</v>
      </c>
      <c r="H39" s="235">
        <f t="shared" si="1"/>
        <v>339.38792977631209</v>
      </c>
      <c r="I39" s="235">
        <f t="shared" si="2"/>
        <v>-166.89853858117192</v>
      </c>
      <c r="J39" s="235">
        <f t="shared" si="3"/>
        <v>339.38792977631209</v>
      </c>
      <c r="K39" s="235">
        <f t="shared" si="4"/>
        <v>-166.89853858117192</v>
      </c>
      <c r="L39" s="235">
        <f t="shared" si="5"/>
        <v>-339.38792977631209</v>
      </c>
      <c r="M39" s="235">
        <f t="shared" si="6"/>
        <v>166.89853858117192</v>
      </c>
      <c r="N39" s="235">
        <f t="shared" si="7"/>
        <v>-339.38792977631209</v>
      </c>
      <c r="P39" s="235">
        <f t="shared" si="8"/>
        <v>0</v>
      </c>
      <c r="Q39" s="235">
        <f t="shared" si="9"/>
        <v>362.10150745940484</v>
      </c>
      <c r="R39" s="235">
        <f t="shared" si="10"/>
        <v>0</v>
      </c>
      <c r="S39" s="235">
        <f t="shared" si="11"/>
        <v>362.10150745940484</v>
      </c>
      <c r="T39" s="235">
        <f t="shared" si="12"/>
        <v>0</v>
      </c>
      <c r="U39" s="235">
        <f t="shared" si="13"/>
        <v>-362.10150745940484</v>
      </c>
      <c r="V39" s="235">
        <f t="shared" si="14"/>
        <v>0</v>
      </c>
      <c r="W39" s="235">
        <f t="shared" si="15"/>
        <v>-362.10150745940484</v>
      </c>
      <c r="Y39" s="235">
        <f t="shared" si="16"/>
        <v>166.89853858117192</v>
      </c>
      <c r="Z39" s="235">
        <f t="shared" si="17"/>
        <v>354.43555940729908</v>
      </c>
      <c r="AA39" s="235">
        <f t="shared" si="18"/>
        <v>-166.89853858117192</v>
      </c>
      <c r="AB39" s="235">
        <f t="shared" si="19"/>
        <v>354.43555940729908</v>
      </c>
      <c r="AC39" s="235">
        <f t="shared" si="20"/>
        <v>-166.89853858117192</v>
      </c>
      <c r="AD39" s="235">
        <f t="shared" si="21"/>
        <v>-354.43555940729908</v>
      </c>
      <c r="AE39" s="235">
        <f t="shared" si="22"/>
        <v>166.89853858117192</v>
      </c>
      <c r="AF39" s="235">
        <f t="shared" si="23"/>
        <v>-354.43555940729908</v>
      </c>
    </row>
    <row r="40" spans="6:32" x14ac:dyDescent="0.25">
      <c r="F40">
        <f t="shared" si="24"/>
        <v>36</v>
      </c>
      <c r="G40" s="235">
        <f t="shared" si="0"/>
        <v>171.66706825491968</v>
      </c>
      <c r="H40" s="235">
        <f t="shared" si="1"/>
        <v>338.3906131725509</v>
      </c>
      <c r="I40" s="235">
        <f t="shared" si="2"/>
        <v>-171.66706825491968</v>
      </c>
      <c r="J40" s="235">
        <f t="shared" si="3"/>
        <v>338.3906131725509</v>
      </c>
      <c r="K40" s="235">
        <f t="shared" si="4"/>
        <v>-171.66706825491968</v>
      </c>
      <c r="L40" s="235">
        <f t="shared" si="5"/>
        <v>-338.3906131725509</v>
      </c>
      <c r="M40" s="235">
        <f t="shared" si="6"/>
        <v>171.66706825491968</v>
      </c>
      <c r="N40" s="235">
        <f t="shared" si="7"/>
        <v>-338.3906131725509</v>
      </c>
      <c r="P40" s="235">
        <f t="shared" si="8"/>
        <v>0</v>
      </c>
      <c r="Q40" s="235">
        <f t="shared" si="9"/>
        <v>362.10150745940484</v>
      </c>
      <c r="R40" s="235">
        <f t="shared" si="10"/>
        <v>0</v>
      </c>
      <c r="S40" s="235">
        <f t="shared" si="11"/>
        <v>362.10150745940484</v>
      </c>
      <c r="T40" s="235">
        <f t="shared" si="12"/>
        <v>0</v>
      </c>
      <c r="U40" s="235">
        <f t="shared" si="13"/>
        <v>-362.10150745940484</v>
      </c>
      <c r="V40" s="235">
        <f t="shared" si="14"/>
        <v>0</v>
      </c>
      <c r="W40" s="235">
        <f t="shared" si="15"/>
        <v>-362.10150745940484</v>
      </c>
      <c r="Y40" s="235">
        <f t="shared" si="16"/>
        <v>171.66706825491968</v>
      </c>
      <c r="Z40" s="235">
        <f t="shared" si="17"/>
        <v>353.98615748327666</v>
      </c>
      <c r="AA40" s="235">
        <f t="shared" si="18"/>
        <v>-171.66706825491968</v>
      </c>
      <c r="AB40" s="235">
        <f t="shared" si="19"/>
        <v>353.98615748327666</v>
      </c>
      <c r="AC40" s="235">
        <f t="shared" si="20"/>
        <v>-171.66706825491968</v>
      </c>
      <c r="AD40" s="235">
        <f t="shared" si="21"/>
        <v>-353.98615748327666</v>
      </c>
      <c r="AE40" s="235">
        <f t="shared" si="22"/>
        <v>171.66706825491968</v>
      </c>
      <c r="AF40" s="235">
        <f t="shared" si="23"/>
        <v>-353.98615748327666</v>
      </c>
    </row>
    <row r="41" spans="6:32" x14ac:dyDescent="0.25">
      <c r="F41">
        <f t="shared" si="24"/>
        <v>37</v>
      </c>
      <c r="G41" s="235">
        <f t="shared" si="0"/>
        <v>176.43559792866745</v>
      </c>
      <c r="H41" s="235">
        <f t="shared" si="1"/>
        <v>337.37784405397099</v>
      </c>
      <c r="I41" s="235">
        <f t="shared" si="2"/>
        <v>-176.43559792866745</v>
      </c>
      <c r="J41" s="235">
        <f t="shared" si="3"/>
        <v>337.37784405397099</v>
      </c>
      <c r="K41" s="235">
        <f t="shared" si="4"/>
        <v>-176.43559792866745</v>
      </c>
      <c r="L41" s="235">
        <f t="shared" si="5"/>
        <v>-337.37784405397099</v>
      </c>
      <c r="M41" s="235">
        <f t="shared" si="6"/>
        <v>176.43559792866745</v>
      </c>
      <c r="N41" s="235">
        <f t="shared" si="7"/>
        <v>-337.37784405397099</v>
      </c>
      <c r="P41" s="235">
        <f t="shared" si="8"/>
        <v>0</v>
      </c>
      <c r="Q41" s="235">
        <f t="shared" si="9"/>
        <v>362.10150745940484</v>
      </c>
      <c r="R41" s="235">
        <f t="shared" si="10"/>
        <v>0</v>
      </c>
      <c r="S41" s="235">
        <f t="shared" si="11"/>
        <v>362.10150745940484</v>
      </c>
      <c r="T41" s="235">
        <f t="shared" si="12"/>
        <v>0</v>
      </c>
      <c r="U41" s="235">
        <f t="shared" si="13"/>
        <v>-362.10150745940484</v>
      </c>
      <c r="V41" s="235">
        <f t="shared" si="14"/>
        <v>0</v>
      </c>
      <c r="W41" s="235">
        <f t="shared" si="15"/>
        <v>-362.10150745940484</v>
      </c>
      <c r="Y41" s="235">
        <f t="shared" si="16"/>
        <v>176.43559792866745</v>
      </c>
      <c r="Z41" s="235">
        <f t="shared" si="17"/>
        <v>353.5235007018922</v>
      </c>
      <c r="AA41" s="235">
        <f t="shared" si="18"/>
        <v>-176.43559792866745</v>
      </c>
      <c r="AB41" s="235">
        <f t="shared" si="19"/>
        <v>353.5235007018922</v>
      </c>
      <c r="AC41" s="235">
        <f t="shared" si="20"/>
        <v>-176.43559792866745</v>
      </c>
      <c r="AD41" s="235">
        <f t="shared" si="21"/>
        <v>-353.5235007018922</v>
      </c>
      <c r="AE41" s="235">
        <f t="shared" si="22"/>
        <v>176.43559792866745</v>
      </c>
      <c r="AF41" s="235">
        <f t="shared" si="23"/>
        <v>-353.5235007018922</v>
      </c>
    </row>
    <row r="42" spans="6:32" x14ac:dyDescent="0.25">
      <c r="F42">
        <f t="shared" si="24"/>
        <v>38</v>
      </c>
      <c r="G42" s="235">
        <f t="shared" si="0"/>
        <v>181.20412760241521</v>
      </c>
      <c r="H42" s="235">
        <f t="shared" si="1"/>
        <v>336.34974105583876</v>
      </c>
      <c r="I42" s="235">
        <f t="shared" si="2"/>
        <v>-181.20412760241521</v>
      </c>
      <c r="J42" s="235">
        <f t="shared" si="3"/>
        <v>336.34974105583876</v>
      </c>
      <c r="K42" s="235">
        <f t="shared" si="4"/>
        <v>-181.20412760241521</v>
      </c>
      <c r="L42" s="235">
        <f t="shared" si="5"/>
        <v>-336.34974105583876</v>
      </c>
      <c r="M42" s="235">
        <f t="shared" si="6"/>
        <v>181.20412760241521</v>
      </c>
      <c r="N42" s="235">
        <f t="shared" si="7"/>
        <v>-336.34974105583876</v>
      </c>
      <c r="P42" s="235">
        <f t="shared" si="8"/>
        <v>0</v>
      </c>
      <c r="Q42" s="235">
        <f t="shared" si="9"/>
        <v>362.10150745940484</v>
      </c>
      <c r="R42" s="235">
        <f t="shared" si="10"/>
        <v>0</v>
      </c>
      <c r="S42" s="235">
        <f t="shared" si="11"/>
        <v>362.10150745940484</v>
      </c>
      <c r="T42" s="235">
        <f t="shared" si="12"/>
        <v>0</v>
      </c>
      <c r="U42" s="235">
        <f t="shared" si="13"/>
        <v>-362.10150745940484</v>
      </c>
      <c r="V42" s="235">
        <f t="shared" si="14"/>
        <v>0</v>
      </c>
      <c r="W42" s="235">
        <f t="shared" si="15"/>
        <v>-362.10150745940484</v>
      </c>
      <c r="Y42" s="235">
        <f t="shared" si="16"/>
        <v>181.20412760241521</v>
      </c>
      <c r="Z42" s="235">
        <f t="shared" si="17"/>
        <v>353.04753695303117</v>
      </c>
      <c r="AA42" s="235">
        <f t="shared" si="18"/>
        <v>-181.20412760241521</v>
      </c>
      <c r="AB42" s="235">
        <f t="shared" si="19"/>
        <v>353.04753695303117</v>
      </c>
      <c r="AC42" s="235">
        <f t="shared" si="20"/>
        <v>-181.20412760241521</v>
      </c>
      <c r="AD42" s="235">
        <f t="shared" si="21"/>
        <v>-353.04753695303117</v>
      </c>
      <c r="AE42" s="235">
        <f t="shared" si="22"/>
        <v>181.20412760241521</v>
      </c>
      <c r="AF42" s="235">
        <f t="shared" si="23"/>
        <v>-353.04753695303117</v>
      </c>
    </row>
    <row r="43" spans="6:32" x14ac:dyDescent="0.25">
      <c r="F43">
        <f t="shared" si="24"/>
        <v>39</v>
      </c>
      <c r="G43" s="235">
        <f t="shared" si="0"/>
        <v>185.97265727616298</v>
      </c>
      <c r="H43" s="235">
        <f t="shared" si="1"/>
        <v>335.30641467682443</v>
      </c>
      <c r="I43" s="235">
        <f t="shared" si="2"/>
        <v>-185.97265727616298</v>
      </c>
      <c r="J43" s="235">
        <f t="shared" si="3"/>
        <v>335.30641467682443</v>
      </c>
      <c r="K43" s="235">
        <f t="shared" si="4"/>
        <v>-185.97265727616298</v>
      </c>
      <c r="L43" s="235">
        <f t="shared" si="5"/>
        <v>-335.30641467682443</v>
      </c>
      <c r="M43" s="235">
        <f t="shared" si="6"/>
        <v>185.97265727616298</v>
      </c>
      <c r="N43" s="235">
        <f t="shared" si="7"/>
        <v>-335.30641467682443</v>
      </c>
      <c r="P43" s="235">
        <f t="shared" si="8"/>
        <v>0</v>
      </c>
      <c r="Q43" s="235">
        <f t="shared" si="9"/>
        <v>362.10150745940484</v>
      </c>
      <c r="R43" s="235">
        <f t="shared" si="10"/>
        <v>0</v>
      </c>
      <c r="S43" s="235">
        <f t="shared" si="11"/>
        <v>362.10150745940484</v>
      </c>
      <c r="T43" s="235">
        <f t="shared" si="12"/>
        <v>0</v>
      </c>
      <c r="U43" s="235">
        <f t="shared" si="13"/>
        <v>-362.10150745940484</v>
      </c>
      <c r="V43" s="235">
        <f t="shared" si="14"/>
        <v>0</v>
      </c>
      <c r="W43" s="235">
        <f t="shared" si="15"/>
        <v>-362.10150745940484</v>
      </c>
      <c r="Y43" s="235">
        <f t="shared" si="16"/>
        <v>185.97265727616298</v>
      </c>
      <c r="Z43" s="235">
        <f t="shared" si="17"/>
        <v>352.55821234232866</v>
      </c>
      <c r="AA43" s="235">
        <f t="shared" si="18"/>
        <v>-185.97265727616298</v>
      </c>
      <c r="AB43" s="235">
        <f t="shared" si="19"/>
        <v>352.55821234232866</v>
      </c>
      <c r="AC43" s="235">
        <f t="shared" si="20"/>
        <v>-185.97265727616298</v>
      </c>
      <c r="AD43" s="235">
        <f t="shared" si="21"/>
        <v>-352.55821234232866</v>
      </c>
      <c r="AE43" s="235">
        <f t="shared" si="22"/>
        <v>185.97265727616298</v>
      </c>
      <c r="AF43" s="235">
        <f t="shared" si="23"/>
        <v>-352.55821234232866</v>
      </c>
    </row>
    <row r="44" spans="6:32" x14ac:dyDescent="0.25">
      <c r="F44">
        <f t="shared" si="24"/>
        <v>40</v>
      </c>
      <c r="G44" s="235">
        <f t="shared" si="0"/>
        <v>190.74118694991077</v>
      </c>
      <c r="H44" s="235">
        <f t="shared" si="1"/>
        <v>334.24796772518727</v>
      </c>
      <c r="I44" s="235">
        <f t="shared" si="2"/>
        <v>-190.74118694991077</v>
      </c>
      <c r="J44" s="235">
        <f t="shared" si="3"/>
        <v>334.24796772518727</v>
      </c>
      <c r="K44" s="235">
        <f t="shared" si="4"/>
        <v>-190.74118694991077</v>
      </c>
      <c r="L44" s="235">
        <f t="shared" si="5"/>
        <v>-334.24796772518727</v>
      </c>
      <c r="M44" s="235">
        <f t="shared" si="6"/>
        <v>190.74118694991077</v>
      </c>
      <c r="N44" s="235">
        <f t="shared" si="7"/>
        <v>-334.24796772518727</v>
      </c>
      <c r="P44" s="235">
        <f t="shared" si="8"/>
        <v>0</v>
      </c>
      <c r="Q44" s="235">
        <f t="shared" si="9"/>
        <v>362.10150745940484</v>
      </c>
      <c r="R44" s="235">
        <f t="shared" si="10"/>
        <v>0</v>
      </c>
      <c r="S44" s="235">
        <f t="shared" si="11"/>
        <v>362.10150745940484</v>
      </c>
      <c r="T44" s="235">
        <f t="shared" si="12"/>
        <v>0</v>
      </c>
      <c r="U44" s="235">
        <f t="shared" si="13"/>
        <v>-362.10150745940484</v>
      </c>
      <c r="V44" s="235">
        <f t="shared" si="14"/>
        <v>0</v>
      </c>
      <c r="W44" s="235">
        <f t="shared" si="15"/>
        <v>-362.10150745940484</v>
      </c>
      <c r="Y44" s="235">
        <f t="shared" si="16"/>
        <v>190.74118694991077</v>
      </c>
      <c r="Z44" s="235">
        <f t="shared" si="17"/>
        <v>352.05547115869484</v>
      </c>
      <c r="AA44" s="235">
        <f t="shared" si="18"/>
        <v>-190.74118694991077</v>
      </c>
      <c r="AB44" s="235">
        <f t="shared" si="19"/>
        <v>352.05547115869484</v>
      </c>
      <c r="AC44" s="235">
        <f t="shared" si="20"/>
        <v>-190.74118694991077</v>
      </c>
      <c r="AD44" s="235">
        <f t="shared" si="21"/>
        <v>-352.05547115869484</v>
      </c>
      <c r="AE44" s="235">
        <f t="shared" si="22"/>
        <v>190.74118694991077</v>
      </c>
      <c r="AF44" s="235">
        <f t="shared" si="23"/>
        <v>-352.05547115869484</v>
      </c>
    </row>
    <row r="45" spans="6:32" x14ac:dyDescent="0.25">
      <c r="F45">
        <f t="shared" si="24"/>
        <v>41</v>
      </c>
      <c r="G45" s="235">
        <f t="shared" si="0"/>
        <v>195.50971662365853</v>
      </c>
      <c r="H45" s="235">
        <f t="shared" si="1"/>
        <v>333.17449572275177</v>
      </c>
      <c r="I45" s="235">
        <f t="shared" si="2"/>
        <v>-195.50971662365853</v>
      </c>
      <c r="J45" s="235">
        <f t="shared" si="3"/>
        <v>333.17449572275177</v>
      </c>
      <c r="K45" s="235">
        <f t="shared" si="4"/>
        <v>-195.50971662365853</v>
      </c>
      <c r="L45" s="235">
        <f t="shared" si="5"/>
        <v>-333.17449572275177</v>
      </c>
      <c r="M45" s="235">
        <f t="shared" si="6"/>
        <v>195.50971662365853</v>
      </c>
      <c r="N45" s="235">
        <f t="shared" si="7"/>
        <v>-333.17449572275177</v>
      </c>
      <c r="P45" s="235">
        <f t="shared" si="8"/>
        <v>0</v>
      </c>
      <c r="Q45" s="235">
        <f t="shared" si="9"/>
        <v>362.10150745940484</v>
      </c>
      <c r="R45" s="235">
        <f t="shared" si="10"/>
        <v>0</v>
      </c>
      <c r="S45" s="235">
        <f t="shared" si="11"/>
        <v>362.10150745940484</v>
      </c>
      <c r="T45" s="235">
        <f t="shared" si="12"/>
        <v>0</v>
      </c>
      <c r="U45" s="235">
        <f t="shared" si="13"/>
        <v>-362.10150745940484</v>
      </c>
      <c r="V45" s="235">
        <f t="shared" si="14"/>
        <v>0</v>
      </c>
      <c r="W45" s="235">
        <f t="shared" si="15"/>
        <v>-362.10150745940484</v>
      </c>
      <c r="Y45" s="235">
        <f t="shared" si="16"/>
        <v>195.50971662365853</v>
      </c>
      <c r="Z45" s="235">
        <f t="shared" si="17"/>
        <v>351.53925584045123</v>
      </c>
      <c r="AA45" s="235">
        <f t="shared" si="18"/>
        <v>-195.50971662365853</v>
      </c>
      <c r="AB45" s="235">
        <f t="shared" si="19"/>
        <v>351.53925584045123</v>
      </c>
      <c r="AC45" s="235">
        <f t="shared" si="20"/>
        <v>-195.50971662365853</v>
      </c>
      <c r="AD45" s="235">
        <f t="shared" si="21"/>
        <v>-351.53925584045123</v>
      </c>
      <c r="AE45" s="235">
        <f t="shared" si="22"/>
        <v>195.50971662365853</v>
      </c>
      <c r="AF45" s="235">
        <f t="shared" si="23"/>
        <v>-351.53925584045123</v>
      </c>
    </row>
    <row r="46" spans="6:32" x14ac:dyDescent="0.25">
      <c r="F46">
        <f t="shared" si="24"/>
        <v>42</v>
      </c>
      <c r="G46" s="235">
        <f t="shared" si="0"/>
        <v>200.2782462974063</v>
      </c>
      <c r="H46" s="235">
        <f t="shared" si="1"/>
        <v>332.08608727122913</v>
      </c>
      <c r="I46" s="235">
        <f t="shared" si="2"/>
        <v>-200.2782462974063</v>
      </c>
      <c r="J46" s="235">
        <f t="shared" si="3"/>
        <v>332.08608727122913</v>
      </c>
      <c r="K46" s="235">
        <f t="shared" si="4"/>
        <v>-200.2782462974063</v>
      </c>
      <c r="L46" s="235">
        <f t="shared" si="5"/>
        <v>-332.08608727122913</v>
      </c>
      <c r="M46" s="235">
        <f t="shared" si="6"/>
        <v>200.2782462974063</v>
      </c>
      <c r="N46" s="235">
        <f t="shared" si="7"/>
        <v>-332.08608727122913</v>
      </c>
      <c r="P46" s="235">
        <f t="shared" si="8"/>
        <v>0</v>
      </c>
      <c r="Q46" s="235">
        <f t="shared" si="9"/>
        <v>362.10150745940484</v>
      </c>
      <c r="R46" s="235">
        <f t="shared" si="10"/>
        <v>0</v>
      </c>
      <c r="S46" s="235">
        <f t="shared" si="11"/>
        <v>362.10150745940484</v>
      </c>
      <c r="T46" s="235">
        <f t="shared" si="12"/>
        <v>0</v>
      </c>
      <c r="U46" s="235">
        <f t="shared" si="13"/>
        <v>-362.10150745940484</v>
      </c>
      <c r="V46" s="235">
        <f t="shared" si="14"/>
        <v>0</v>
      </c>
      <c r="W46" s="235">
        <f t="shared" si="15"/>
        <v>-362.10150745940484</v>
      </c>
      <c r="Y46" s="235">
        <f t="shared" si="16"/>
        <v>200.2782462974063</v>
      </c>
      <c r="Z46" s="235">
        <f t="shared" si="17"/>
        <v>351.00950694002768</v>
      </c>
      <c r="AA46" s="235">
        <f t="shared" si="18"/>
        <v>-200.2782462974063</v>
      </c>
      <c r="AB46" s="235">
        <f t="shared" si="19"/>
        <v>351.00950694002768</v>
      </c>
      <c r="AC46" s="235">
        <f t="shared" si="20"/>
        <v>-200.2782462974063</v>
      </c>
      <c r="AD46" s="235">
        <f t="shared" si="21"/>
        <v>-351.00950694002768</v>
      </c>
      <c r="AE46" s="235">
        <f t="shared" si="22"/>
        <v>200.2782462974063</v>
      </c>
      <c r="AF46" s="235">
        <f t="shared" si="23"/>
        <v>-351.00950694002768</v>
      </c>
    </row>
    <row r="47" spans="6:32" x14ac:dyDescent="0.25">
      <c r="F47">
        <f t="shared" si="24"/>
        <v>43</v>
      </c>
      <c r="G47" s="235">
        <f t="shared" si="0"/>
        <v>205.04677597115406</v>
      </c>
      <c r="H47" s="235">
        <f t="shared" si="1"/>
        <v>330.98282438483085</v>
      </c>
      <c r="I47" s="235">
        <f t="shared" si="2"/>
        <v>-205.04677597115406</v>
      </c>
      <c r="J47" s="235">
        <f t="shared" si="3"/>
        <v>330.98282438483085</v>
      </c>
      <c r="K47" s="235">
        <f t="shared" si="4"/>
        <v>-205.04677597115406</v>
      </c>
      <c r="L47" s="235">
        <f t="shared" si="5"/>
        <v>-330.98282438483085</v>
      </c>
      <c r="M47" s="235">
        <f t="shared" si="6"/>
        <v>205.04677597115406</v>
      </c>
      <c r="N47" s="235">
        <f t="shared" si="7"/>
        <v>-330.98282438483085</v>
      </c>
      <c r="P47" s="235">
        <f t="shared" si="8"/>
        <v>0</v>
      </c>
      <c r="Q47" s="235">
        <f t="shared" si="9"/>
        <v>362.10150745940484</v>
      </c>
      <c r="R47" s="235">
        <f t="shared" si="10"/>
        <v>0</v>
      </c>
      <c r="S47" s="235">
        <f t="shared" si="11"/>
        <v>362.10150745940484</v>
      </c>
      <c r="T47" s="235">
        <f t="shared" si="12"/>
        <v>0</v>
      </c>
      <c r="U47" s="235">
        <f t="shared" si="13"/>
        <v>-362.10150745940484</v>
      </c>
      <c r="V47" s="235">
        <f t="shared" si="14"/>
        <v>0</v>
      </c>
      <c r="W47" s="235">
        <f t="shared" si="15"/>
        <v>-362.10150745940484</v>
      </c>
      <c r="Y47" s="235">
        <f t="shared" si="16"/>
        <v>205.04677597115406</v>
      </c>
      <c r="Z47" s="235">
        <f t="shared" si="17"/>
        <v>350.46616308716585</v>
      </c>
      <c r="AA47" s="235">
        <f t="shared" si="18"/>
        <v>-205.04677597115406</v>
      </c>
      <c r="AB47" s="235">
        <f t="shared" si="19"/>
        <v>350.46616308716585</v>
      </c>
      <c r="AC47" s="235">
        <f t="shared" si="20"/>
        <v>-205.04677597115406</v>
      </c>
      <c r="AD47" s="235">
        <f t="shared" si="21"/>
        <v>-350.46616308716585</v>
      </c>
      <c r="AE47" s="235">
        <f t="shared" si="22"/>
        <v>205.04677597115406</v>
      </c>
      <c r="AF47" s="235">
        <f t="shared" si="23"/>
        <v>-350.46616308716585</v>
      </c>
    </row>
    <row r="48" spans="6:32" x14ac:dyDescent="0.25">
      <c r="F48">
        <f t="shared" si="24"/>
        <v>44</v>
      </c>
      <c r="G48" s="235">
        <f t="shared" si="0"/>
        <v>209.81530564490183</v>
      </c>
      <c r="H48" s="235">
        <f t="shared" si="1"/>
        <v>329.86478279260945</v>
      </c>
      <c r="I48" s="235">
        <f t="shared" si="2"/>
        <v>-209.81530564490183</v>
      </c>
      <c r="J48" s="235">
        <f t="shared" si="3"/>
        <v>329.86478279260945</v>
      </c>
      <c r="K48" s="235">
        <f t="shared" si="4"/>
        <v>-209.81530564490183</v>
      </c>
      <c r="L48" s="235">
        <f t="shared" si="5"/>
        <v>-329.86478279260945</v>
      </c>
      <c r="M48" s="235">
        <f t="shared" si="6"/>
        <v>209.81530564490183</v>
      </c>
      <c r="N48" s="235">
        <f t="shared" si="7"/>
        <v>-329.86478279260945</v>
      </c>
      <c r="P48" s="235">
        <f t="shared" si="8"/>
        <v>0</v>
      </c>
      <c r="Q48" s="235">
        <f t="shared" si="9"/>
        <v>362.10150745940484</v>
      </c>
      <c r="R48" s="235">
        <f t="shared" si="10"/>
        <v>0</v>
      </c>
      <c r="S48" s="235">
        <f t="shared" si="11"/>
        <v>362.10150745940484</v>
      </c>
      <c r="T48" s="235">
        <f t="shared" si="12"/>
        <v>0</v>
      </c>
      <c r="U48" s="235">
        <f t="shared" si="13"/>
        <v>-362.10150745940484</v>
      </c>
      <c r="V48" s="235">
        <f t="shared" si="14"/>
        <v>0</v>
      </c>
      <c r="W48" s="235">
        <f t="shared" si="15"/>
        <v>-362.10150745940484</v>
      </c>
      <c r="Y48" s="235">
        <f t="shared" si="16"/>
        <v>209.81530564490183</v>
      </c>
      <c r="Z48" s="235">
        <f t="shared" si="17"/>
        <v>349.90916095057304</v>
      </c>
      <c r="AA48" s="235">
        <f t="shared" si="18"/>
        <v>-209.81530564490183</v>
      </c>
      <c r="AB48" s="235">
        <f t="shared" si="19"/>
        <v>349.90916095057304</v>
      </c>
      <c r="AC48" s="235">
        <f t="shared" si="20"/>
        <v>-209.81530564490183</v>
      </c>
      <c r="AD48" s="235">
        <f t="shared" si="21"/>
        <v>-349.90916095057304</v>
      </c>
      <c r="AE48" s="235">
        <f t="shared" si="22"/>
        <v>209.81530564490183</v>
      </c>
      <c r="AF48" s="235">
        <f t="shared" si="23"/>
        <v>-349.90916095057304</v>
      </c>
    </row>
    <row r="49" spans="6:32" x14ac:dyDescent="0.25">
      <c r="F49">
        <f t="shared" si="24"/>
        <v>45</v>
      </c>
      <c r="G49" s="235">
        <f t="shared" si="0"/>
        <v>214.58383531864959</v>
      </c>
      <c r="H49" s="235">
        <f t="shared" si="1"/>
        <v>328.73203221351918</v>
      </c>
      <c r="I49" s="235">
        <f t="shared" si="2"/>
        <v>-214.58383531864959</v>
      </c>
      <c r="J49" s="235">
        <f t="shared" si="3"/>
        <v>328.73203221351918</v>
      </c>
      <c r="K49" s="235">
        <f t="shared" si="4"/>
        <v>-214.58383531864959</v>
      </c>
      <c r="L49" s="235">
        <f t="shared" si="5"/>
        <v>-328.73203221351918</v>
      </c>
      <c r="M49" s="235">
        <f t="shared" si="6"/>
        <v>214.58383531864959</v>
      </c>
      <c r="N49" s="235">
        <f t="shared" si="7"/>
        <v>-328.73203221351918</v>
      </c>
      <c r="P49" s="235">
        <f t="shared" si="8"/>
        <v>0</v>
      </c>
      <c r="Q49" s="235">
        <f t="shared" si="9"/>
        <v>362.10150745940484</v>
      </c>
      <c r="R49" s="235">
        <f t="shared" si="10"/>
        <v>0</v>
      </c>
      <c r="S49" s="235">
        <f t="shared" si="11"/>
        <v>362.10150745940484</v>
      </c>
      <c r="T49" s="235">
        <f t="shared" si="12"/>
        <v>0</v>
      </c>
      <c r="U49" s="235">
        <f t="shared" si="13"/>
        <v>-362.10150745940484</v>
      </c>
      <c r="V49" s="235">
        <f t="shared" si="14"/>
        <v>0</v>
      </c>
      <c r="W49" s="235">
        <f t="shared" si="15"/>
        <v>-362.10150745940484</v>
      </c>
      <c r="Y49" s="235">
        <f t="shared" si="16"/>
        <v>214.58383531864959</v>
      </c>
      <c r="Z49" s="235">
        <f t="shared" si="17"/>
        <v>349.33843519796619</v>
      </c>
      <c r="AA49" s="235">
        <f t="shared" si="18"/>
        <v>-214.58383531864959</v>
      </c>
      <c r="AB49" s="235">
        <f t="shared" si="19"/>
        <v>349.33843519796619</v>
      </c>
      <c r="AC49" s="235">
        <f t="shared" si="20"/>
        <v>-214.58383531864959</v>
      </c>
      <c r="AD49" s="235">
        <f t="shared" si="21"/>
        <v>-349.33843519796619</v>
      </c>
      <c r="AE49" s="235">
        <f t="shared" si="22"/>
        <v>214.58383531864959</v>
      </c>
      <c r="AF49" s="235">
        <f t="shared" si="23"/>
        <v>-349.33843519796619</v>
      </c>
    </row>
    <row r="50" spans="6:32" x14ac:dyDescent="0.25">
      <c r="F50">
        <f t="shared" si="24"/>
        <v>46</v>
      </c>
      <c r="G50" s="235">
        <f t="shared" si="0"/>
        <v>219.35236499239738</v>
      </c>
      <c r="H50" s="235">
        <f t="shared" si="1"/>
        <v>327.5846366068202</v>
      </c>
      <c r="I50" s="235">
        <f t="shared" si="2"/>
        <v>-219.35236499239738</v>
      </c>
      <c r="J50" s="235">
        <f t="shared" si="3"/>
        <v>327.5846366068202</v>
      </c>
      <c r="K50" s="235">
        <f t="shared" si="4"/>
        <v>-219.35236499239738</v>
      </c>
      <c r="L50" s="235">
        <f t="shared" si="5"/>
        <v>-327.5846366068202</v>
      </c>
      <c r="M50" s="235">
        <f t="shared" si="6"/>
        <v>219.35236499239738</v>
      </c>
      <c r="N50" s="235">
        <f t="shared" si="7"/>
        <v>-327.5846366068202</v>
      </c>
      <c r="P50" s="235">
        <f t="shared" si="8"/>
        <v>0</v>
      </c>
      <c r="Q50" s="235">
        <f t="shared" si="9"/>
        <v>362.10150745940484</v>
      </c>
      <c r="R50" s="235">
        <f t="shared" si="10"/>
        <v>0</v>
      </c>
      <c r="S50" s="235">
        <f t="shared" si="11"/>
        <v>362.10150745940484</v>
      </c>
      <c r="T50" s="235">
        <f t="shared" si="12"/>
        <v>0</v>
      </c>
      <c r="U50" s="235">
        <f t="shared" si="13"/>
        <v>-362.10150745940484</v>
      </c>
      <c r="V50" s="235">
        <f t="shared" si="14"/>
        <v>0</v>
      </c>
      <c r="W50" s="235">
        <f t="shared" si="15"/>
        <v>-362.10150745940484</v>
      </c>
      <c r="Y50" s="235">
        <f t="shared" si="16"/>
        <v>219.35236499239738</v>
      </c>
      <c r="Z50" s="235">
        <f t="shared" si="17"/>
        <v>348.75391845444364</v>
      </c>
      <c r="AA50" s="235">
        <f t="shared" si="18"/>
        <v>-219.35236499239738</v>
      </c>
      <c r="AB50" s="235">
        <f t="shared" si="19"/>
        <v>348.75391845444364</v>
      </c>
      <c r="AC50" s="235">
        <f t="shared" si="20"/>
        <v>-219.35236499239738</v>
      </c>
      <c r="AD50" s="235">
        <f t="shared" si="21"/>
        <v>-348.75391845444364</v>
      </c>
      <c r="AE50" s="235">
        <f t="shared" si="22"/>
        <v>219.35236499239738</v>
      </c>
      <c r="AF50" s="235">
        <f t="shared" si="23"/>
        <v>-348.75391845444364</v>
      </c>
    </row>
    <row r="51" spans="6:32" x14ac:dyDescent="0.25">
      <c r="F51">
        <f t="shared" si="24"/>
        <v>47</v>
      </c>
      <c r="G51" s="235">
        <f t="shared" si="0"/>
        <v>224.12089466614515</v>
      </c>
      <c r="H51" s="235">
        <f t="shared" si="1"/>
        <v>326.42265440012284</v>
      </c>
      <c r="I51" s="235">
        <f t="shared" si="2"/>
        <v>-224.12089466614515</v>
      </c>
      <c r="J51" s="235">
        <f t="shared" si="3"/>
        <v>326.42265440012284</v>
      </c>
      <c r="K51" s="235">
        <f t="shared" si="4"/>
        <v>-224.12089466614515</v>
      </c>
      <c r="L51" s="235">
        <f t="shared" si="5"/>
        <v>-326.42265440012284</v>
      </c>
      <c r="M51" s="235">
        <f t="shared" si="6"/>
        <v>224.12089466614515</v>
      </c>
      <c r="N51" s="235">
        <f t="shared" si="7"/>
        <v>-326.42265440012284</v>
      </c>
      <c r="P51" s="235">
        <f t="shared" si="8"/>
        <v>0</v>
      </c>
      <c r="Q51" s="235">
        <f t="shared" si="9"/>
        <v>362.10150745940484</v>
      </c>
      <c r="R51" s="235">
        <f t="shared" si="10"/>
        <v>0</v>
      </c>
      <c r="S51" s="235">
        <f t="shared" si="11"/>
        <v>362.10150745940484</v>
      </c>
      <c r="T51" s="235">
        <f t="shared" si="12"/>
        <v>0</v>
      </c>
      <c r="U51" s="235">
        <f t="shared" si="13"/>
        <v>-362.10150745940484</v>
      </c>
      <c r="V51" s="235">
        <f t="shared" si="14"/>
        <v>0</v>
      </c>
      <c r="W51" s="235">
        <f t="shared" si="15"/>
        <v>-362.10150745940484</v>
      </c>
      <c r="Y51" s="235">
        <f t="shared" si="16"/>
        <v>224.12089466614515</v>
      </c>
      <c r="Z51" s="235">
        <f t="shared" si="17"/>
        <v>348.15554125911785</v>
      </c>
      <c r="AA51" s="235">
        <f t="shared" si="18"/>
        <v>-224.12089466614515</v>
      </c>
      <c r="AB51" s="235">
        <f t="shared" si="19"/>
        <v>348.15554125911785</v>
      </c>
      <c r="AC51" s="235">
        <f t="shared" si="20"/>
        <v>-224.12089466614515</v>
      </c>
      <c r="AD51" s="235">
        <f t="shared" si="21"/>
        <v>-348.15554125911785</v>
      </c>
      <c r="AE51" s="235">
        <f t="shared" si="22"/>
        <v>224.12089466614515</v>
      </c>
      <c r="AF51" s="235">
        <f t="shared" si="23"/>
        <v>-348.15554125911785</v>
      </c>
    </row>
    <row r="52" spans="6:32" x14ac:dyDescent="0.25">
      <c r="F52">
        <f t="shared" si="24"/>
        <v>48</v>
      </c>
      <c r="G52" s="235">
        <f t="shared" si="0"/>
        <v>228.88942433989291</v>
      </c>
      <c r="H52" s="235">
        <f t="shared" si="1"/>
        <v>325.24613869709418</v>
      </c>
      <c r="I52" s="235">
        <f t="shared" si="2"/>
        <v>-228.88942433989291</v>
      </c>
      <c r="J52" s="235">
        <f t="shared" si="3"/>
        <v>325.24613869709418</v>
      </c>
      <c r="K52" s="235">
        <f t="shared" si="4"/>
        <v>-228.88942433989291</v>
      </c>
      <c r="L52" s="235">
        <f t="shared" si="5"/>
        <v>-325.24613869709418</v>
      </c>
      <c r="M52" s="235">
        <f t="shared" si="6"/>
        <v>228.88942433989291</v>
      </c>
      <c r="N52" s="235">
        <f t="shared" si="7"/>
        <v>-325.24613869709418</v>
      </c>
      <c r="P52" s="235">
        <f t="shared" si="8"/>
        <v>0</v>
      </c>
      <c r="Q52" s="235">
        <f t="shared" si="9"/>
        <v>362.10150745940484</v>
      </c>
      <c r="R52" s="235">
        <f t="shared" si="10"/>
        <v>0</v>
      </c>
      <c r="S52" s="235">
        <f t="shared" si="11"/>
        <v>362.10150745940484</v>
      </c>
      <c r="T52" s="235">
        <f t="shared" si="12"/>
        <v>0</v>
      </c>
      <c r="U52" s="235">
        <f t="shared" si="13"/>
        <v>-362.10150745940484</v>
      </c>
      <c r="V52" s="235">
        <f t="shared" si="14"/>
        <v>0</v>
      </c>
      <c r="W52" s="235">
        <f t="shared" si="15"/>
        <v>-362.10150745940484</v>
      </c>
      <c r="Y52" s="235">
        <f t="shared" si="16"/>
        <v>228.88942433989291</v>
      </c>
      <c r="Z52" s="235">
        <f t="shared" si="17"/>
        <v>347.54323201993935</v>
      </c>
      <c r="AA52" s="235">
        <f t="shared" si="18"/>
        <v>-228.88942433989291</v>
      </c>
      <c r="AB52" s="235">
        <f t="shared" si="19"/>
        <v>347.54323201993935</v>
      </c>
      <c r="AC52" s="235">
        <f t="shared" si="20"/>
        <v>-228.88942433989291</v>
      </c>
      <c r="AD52" s="235">
        <f t="shared" si="21"/>
        <v>-347.54323201993935</v>
      </c>
      <c r="AE52" s="235">
        <f t="shared" si="22"/>
        <v>228.88942433989291</v>
      </c>
      <c r="AF52" s="235">
        <f t="shared" si="23"/>
        <v>-347.54323201993935</v>
      </c>
    </row>
    <row r="53" spans="6:32" x14ac:dyDescent="0.25">
      <c r="F53">
        <f t="shared" si="24"/>
        <v>49</v>
      </c>
      <c r="G53" s="235">
        <f t="shared" si="0"/>
        <v>233.65795401364068</v>
      </c>
      <c r="H53" s="235">
        <f t="shared" si="1"/>
        <v>324.0551374666087</v>
      </c>
      <c r="I53" s="235">
        <f t="shared" si="2"/>
        <v>-233.65795401364068</v>
      </c>
      <c r="J53" s="235">
        <f t="shared" si="3"/>
        <v>324.0551374666087</v>
      </c>
      <c r="K53" s="235">
        <f t="shared" si="4"/>
        <v>-233.65795401364068</v>
      </c>
      <c r="L53" s="235">
        <f t="shared" si="5"/>
        <v>-324.0551374666087</v>
      </c>
      <c r="M53" s="235">
        <f t="shared" si="6"/>
        <v>233.65795401364068</v>
      </c>
      <c r="N53" s="235">
        <f t="shared" si="7"/>
        <v>-324.0551374666087</v>
      </c>
      <c r="P53" s="235">
        <f t="shared" si="8"/>
        <v>0</v>
      </c>
      <c r="Q53" s="235">
        <f t="shared" si="9"/>
        <v>362.10150745940484</v>
      </c>
      <c r="R53" s="235">
        <f t="shared" si="10"/>
        <v>0</v>
      </c>
      <c r="S53" s="235">
        <f t="shared" si="11"/>
        <v>362.10150745940484</v>
      </c>
      <c r="T53" s="235">
        <f t="shared" si="12"/>
        <v>0</v>
      </c>
      <c r="U53" s="235">
        <f t="shared" si="13"/>
        <v>-362.10150745940484</v>
      </c>
      <c r="V53" s="235">
        <f t="shared" si="14"/>
        <v>0</v>
      </c>
      <c r="W53" s="235">
        <f t="shared" si="15"/>
        <v>-362.10150745940484</v>
      </c>
      <c r="Y53" s="235">
        <f t="shared" si="16"/>
        <v>233.65795401364068</v>
      </c>
      <c r="Z53" s="235">
        <f t="shared" si="17"/>
        <v>346.91691696663764</v>
      </c>
      <c r="AA53" s="235">
        <f t="shared" si="18"/>
        <v>-233.65795401364068</v>
      </c>
      <c r="AB53" s="235">
        <f t="shared" si="19"/>
        <v>346.91691696663764</v>
      </c>
      <c r="AC53" s="235">
        <f t="shared" si="20"/>
        <v>-233.65795401364068</v>
      </c>
      <c r="AD53" s="235">
        <f t="shared" si="21"/>
        <v>-346.91691696663764</v>
      </c>
      <c r="AE53" s="235">
        <f t="shared" si="22"/>
        <v>233.65795401364068</v>
      </c>
      <c r="AF53" s="235">
        <f t="shared" si="23"/>
        <v>-346.91691696663764</v>
      </c>
    </row>
    <row r="54" spans="6:32" x14ac:dyDescent="0.25">
      <c r="F54">
        <f t="shared" si="24"/>
        <v>50</v>
      </c>
      <c r="G54" s="235">
        <f t="shared" si="0"/>
        <v>238.42648368738844</v>
      </c>
      <c r="H54" s="235">
        <f t="shared" si="1"/>
        <v>322.84969371491525</v>
      </c>
      <c r="I54" s="235">
        <f t="shared" si="2"/>
        <v>-238.42648368738844</v>
      </c>
      <c r="J54" s="235">
        <f t="shared" si="3"/>
        <v>322.84969371491525</v>
      </c>
      <c r="K54" s="235">
        <f t="shared" si="4"/>
        <v>-238.42648368738844</v>
      </c>
      <c r="L54" s="235">
        <f t="shared" si="5"/>
        <v>-322.84969371491525</v>
      </c>
      <c r="M54" s="235">
        <f t="shared" si="6"/>
        <v>238.42648368738844</v>
      </c>
      <c r="N54" s="235">
        <f t="shared" si="7"/>
        <v>-322.84969371491525</v>
      </c>
      <c r="P54" s="235">
        <f t="shared" si="8"/>
        <v>0</v>
      </c>
      <c r="Q54" s="235">
        <f t="shared" si="9"/>
        <v>362.10150745940484</v>
      </c>
      <c r="R54" s="235">
        <f t="shared" si="10"/>
        <v>0</v>
      </c>
      <c r="S54" s="235">
        <f t="shared" si="11"/>
        <v>362.10150745940484</v>
      </c>
      <c r="T54" s="235">
        <f t="shared" si="12"/>
        <v>0</v>
      </c>
      <c r="U54" s="235">
        <f t="shared" si="13"/>
        <v>-362.10150745940484</v>
      </c>
      <c r="V54" s="235">
        <f t="shared" si="14"/>
        <v>0</v>
      </c>
      <c r="W54" s="235">
        <f t="shared" si="15"/>
        <v>-362.10150745940484</v>
      </c>
      <c r="Y54" s="235">
        <f t="shared" si="16"/>
        <v>238.42648368738844</v>
      </c>
      <c r="Z54" s="235">
        <f t="shared" si="17"/>
        <v>346.27652010170146</v>
      </c>
      <c r="AA54" s="235">
        <f t="shared" si="18"/>
        <v>-238.42648368738844</v>
      </c>
      <c r="AB54" s="235">
        <f t="shared" si="19"/>
        <v>346.27652010170146</v>
      </c>
      <c r="AC54" s="235">
        <f t="shared" si="20"/>
        <v>-238.42648368738844</v>
      </c>
      <c r="AD54" s="235">
        <f t="shared" si="21"/>
        <v>-346.27652010170146</v>
      </c>
      <c r="AE54" s="235">
        <f t="shared" si="22"/>
        <v>238.42648368738844</v>
      </c>
      <c r="AF54" s="235">
        <f t="shared" si="23"/>
        <v>-346.27652010170146</v>
      </c>
    </row>
    <row r="55" spans="6:32" x14ac:dyDescent="0.25">
      <c r="F55">
        <f t="shared" si="24"/>
        <v>51</v>
      </c>
      <c r="G55" s="235">
        <f t="shared" si="0"/>
        <v>243.1950133611362</v>
      </c>
      <c r="H55" s="235">
        <f t="shared" si="1"/>
        <v>321.62984564221324</v>
      </c>
      <c r="I55" s="235">
        <f t="shared" si="2"/>
        <v>-243.1950133611362</v>
      </c>
      <c r="J55" s="235">
        <f t="shared" si="3"/>
        <v>321.62984564221324</v>
      </c>
      <c r="K55" s="235">
        <f t="shared" si="4"/>
        <v>-243.1950133611362</v>
      </c>
      <c r="L55" s="235">
        <f t="shared" si="5"/>
        <v>-321.62984564221324</v>
      </c>
      <c r="M55" s="235">
        <f t="shared" si="6"/>
        <v>243.1950133611362</v>
      </c>
      <c r="N55" s="235">
        <f t="shared" si="7"/>
        <v>-321.62984564221324</v>
      </c>
      <c r="P55" s="235">
        <f t="shared" si="8"/>
        <v>0</v>
      </c>
      <c r="Q55" s="235">
        <f t="shared" si="9"/>
        <v>362.10150745940484</v>
      </c>
      <c r="R55" s="235">
        <f t="shared" si="10"/>
        <v>0</v>
      </c>
      <c r="S55" s="235">
        <f t="shared" si="11"/>
        <v>362.10150745940484</v>
      </c>
      <c r="T55" s="235">
        <f t="shared" si="12"/>
        <v>0</v>
      </c>
      <c r="U55" s="235">
        <f t="shared" si="13"/>
        <v>-362.10150745940484</v>
      </c>
      <c r="V55" s="235">
        <f t="shared" si="14"/>
        <v>0</v>
      </c>
      <c r="W55" s="235">
        <f t="shared" si="15"/>
        <v>-362.10150745940484</v>
      </c>
      <c r="Y55" s="235">
        <f t="shared" si="16"/>
        <v>243.1950133611362</v>
      </c>
      <c r="Z55" s="235">
        <f t="shared" si="17"/>
        <v>345.62196314931521</v>
      </c>
      <c r="AA55" s="235">
        <f t="shared" si="18"/>
        <v>-243.1950133611362</v>
      </c>
      <c r="AB55" s="235">
        <f t="shared" si="19"/>
        <v>345.62196314931521</v>
      </c>
      <c r="AC55" s="235">
        <f t="shared" si="20"/>
        <v>-243.1950133611362</v>
      </c>
      <c r="AD55" s="235">
        <f t="shared" si="21"/>
        <v>-345.62196314931521</v>
      </c>
      <c r="AE55" s="235">
        <f t="shared" si="22"/>
        <v>243.1950133611362</v>
      </c>
      <c r="AF55" s="235">
        <f t="shared" si="23"/>
        <v>-345.62196314931521</v>
      </c>
    </row>
    <row r="56" spans="6:32" x14ac:dyDescent="0.25">
      <c r="F56">
        <f t="shared" si="24"/>
        <v>52</v>
      </c>
      <c r="G56" s="235">
        <f t="shared" si="0"/>
        <v>247.963543034884</v>
      </c>
      <c r="H56" s="235">
        <f t="shared" si="1"/>
        <v>320.39562678486885</v>
      </c>
      <c r="I56" s="235">
        <f t="shared" si="2"/>
        <v>-247.963543034884</v>
      </c>
      <c r="J56" s="235">
        <f t="shared" si="3"/>
        <v>320.39562678486885</v>
      </c>
      <c r="K56" s="235">
        <f t="shared" si="4"/>
        <v>-247.963543034884</v>
      </c>
      <c r="L56" s="235">
        <f t="shared" si="5"/>
        <v>-320.39562678486885</v>
      </c>
      <c r="M56" s="235">
        <f t="shared" si="6"/>
        <v>247.963543034884</v>
      </c>
      <c r="N56" s="235">
        <f t="shared" si="7"/>
        <v>-320.39562678486885</v>
      </c>
      <c r="P56" s="235">
        <f t="shared" si="8"/>
        <v>0</v>
      </c>
      <c r="Q56" s="235">
        <f t="shared" si="9"/>
        <v>362.10150745940484</v>
      </c>
      <c r="R56" s="235">
        <f t="shared" si="10"/>
        <v>0</v>
      </c>
      <c r="S56" s="235">
        <f t="shared" si="11"/>
        <v>362.10150745940484</v>
      </c>
      <c r="T56" s="235">
        <f t="shared" si="12"/>
        <v>0</v>
      </c>
      <c r="U56" s="235">
        <f t="shared" si="13"/>
        <v>-362.10150745940484</v>
      </c>
      <c r="V56" s="235">
        <f t="shared" si="14"/>
        <v>0</v>
      </c>
      <c r="W56" s="235">
        <f t="shared" si="15"/>
        <v>-362.10150745940484</v>
      </c>
      <c r="Y56" s="235">
        <f t="shared" si="16"/>
        <v>247.963543034884</v>
      </c>
      <c r="Z56" s="235">
        <f t="shared" si="17"/>
        <v>344.95316550216592</v>
      </c>
      <c r="AA56" s="235">
        <f t="shared" si="18"/>
        <v>-247.963543034884</v>
      </c>
      <c r="AB56" s="235">
        <f t="shared" si="19"/>
        <v>344.95316550216592</v>
      </c>
      <c r="AC56" s="235">
        <f t="shared" si="20"/>
        <v>-247.963543034884</v>
      </c>
      <c r="AD56" s="235">
        <f t="shared" si="21"/>
        <v>-344.95316550216592</v>
      </c>
      <c r="AE56" s="235">
        <f t="shared" si="22"/>
        <v>247.963543034884</v>
      </c>
      <c r="AF56" s="235">
        <f t="shared" si="23"/>
        <v>-344.95316550216592</v>
      </c>
    </row>
    <row r="57" spans="6:32" x14ac:dyDescent="0.25">
      <c r="F57">
        <f t="shared" si="24"/>
        <v>53</v>
      </c>
      <c r="G57" s="235">
        <f t="shared" si="0"/>
        <v>252.73207270863176</v>
      </c>
      <c r="H57" s="235">
        <f t="shared" si="1"/>
        <v>319.14706614436699</v>
      </c>
      <c r="I57" s="235">
        <f t="shared" si="2"/>
        <v>-252.73207270863176</v>
      </c>
      <c r="J57" s="235">
        <f t="shared" si="3"/>
        <v>319.14706614436699</v>
      </c>
      <c r="K57" s="235">
        <f t="shared" si="4"/>
        <v>-252.73207270863176</v>
      </c>
      <c r="L57" s="235">
        <f t="shared" si="5"/>
        <v>-319.14706614436699</v>
      </c>
      <c r="M57" s="235">
        <f t="shared" si="6"/>
        <v>252.73207270863176</v>
      </c>
      <c r="N57" s="235">
        <f t="shared" si="7"/>
        <v>-319.14706614436699</v>
      </c>
      <c r="P57" s="235">
        <f t="shared" si="8"/>
        <v>0</v>
      </c>
      <c r="Q57" s="235">
        <f t="shared" si="9"/>
        <v>362.10150745940484</v>
      </c>
      <c r="R57" s="235">
        <f t="shared" si="10"/>
        <v>0</v>
      </c>
      <c r="S57" s="235">
        <f t="shared" si="11"/>
        <v>362.10150745940484</v>
      </c>
      <c r="T57" s="235">
        <f t="shared" si="12"/>
        <v>0</v>
      </c>
      <c r="U57" s="235">
        <f t="shared" si="13"/>
        <v>-362.10150745940484</v>
      </c>
      <c r="V57" s="235">
        <f t="shared" si="14"/>
        <v>0</v>
      </c>
      <c r="W57" s="235">
        <f t="shared" si="15"/>
        <v>-362.10150745940484</v>
      </c>
      <c r="Y57" s="235">
        <f t="shared" si="16"/>
        <v>252.73207270863176</v>
      </c>
      <c r="Z57" s="235">
        <f t="shared" si="17"/>
        <v>344.27004416602711</v>
      </c>
      <c r="AA57" s="235">
        <f t="shared" si="18"/>
        <v>-252.73207270863176</v>
      </c>
      <c r="AB57" s="235">
        <f t="shared" si="19"/>
        <v>344.27004416602711</v>
      </c>
      <c r="AC57" s="235">
        <f t="shared" si="20"/>
        <v>-252.73207270863176</v>
      </c>
      <c r="AD57" s="235">
        <f t="shared" si="21"/>
        <v>-344.27004416602711</v>
      </c>
      <c r="AE57" s="235">
        <f t="shared" si="22"/>
        <v>252.73207270863176</v>
      </c>
      <c r="AF57" s="235">
        <f t="shared" si="23"/>
        <v>-344.27004416602711</v>
      </c>
    </row>
    <row r="58" spans="6:32" x14ac:dyDescent="0.25">
      <c r="F58">
        <f t="shared" si="24"/>
        <v>54</v>
      </c>
      <c r="G58" s="235">
        <f t="shared" si="0"/>
        <v>257.5006023823795</v>
      </c>
      <c r="H58" s="235">
        <f t="shared" si="1"/>
        <v>317.88418830396824</v>
      </c>
      <c r="I58" s="235">
        <f t="shared" si="2"/>
        <v>-257.5006023823795</v>
      </c>
      <c r="J58" s="235">
        <f t="shared" si="3"/>
        <v>317.88418830396824</v>
      </c>
      <c r="K58" s="235">
        <f t="shared" si="4"/>
        <v>-257.5006023823795</v>
      </c>
      <c r="L58" s="235">
        <f t="shared" si="5"/>
        <v>-317.88418830396824</v>
      </c>
      <c r="M58" s="235">
        <f t="shared" si="6"/>
        <v>257.5006023823795</v>
      </c>
      <c r="N58" s="235">
        <f t="shared" si="7"/>
        <v>-317.88418830396824</v>
      </c>
      <c r="P58" s="235">
        <f t="shared" si="8"/>
        <v>0</v>
      </c>
      <c r="Q58" s="235">
        <f t="shared" si="9"/>
        <v>362.10150745940484</v>
      </c>
      <c r="R58" s="235">
        <f t="shared" si="10"/>
        <v>0</v>
      </c>
      <c r="S58" s="235">
        <f t="shared" si="11"/>
        <v>362.10150745940484</v>
      </c>
      <c r="T58" s="235">
        <f t="shared" si="12"/>
        <v>0</v>
      </c>
      <c r="U58" s="235">
        <f t="shared" si="13"/>
        <v>-362.10150745940484</v>
      </c>
      <c r="V58" s="235">
        <f t="shared" si="14"/>
        <v>0</v>
      </c>
      <c r="W58" s="235">
        <f t="shared" si="15"/>
        <v>-362.10150745940484</v>
      </c>
      <c r="Y58" s="235">
        <f t="shared" si="16"/>
        <v>257.5006023823795</v>
      </c>
      <c r="Z58" s="235">
        <f t="shared" si="17"/>
        <v>343.5725137020238</v>
      </c>
      <c r="AA58" s="235">
        <f t="shared" si="18"/>
        <v>-257.5006023823795</v>
      </c>
      <c r="AB58" s="235">
        <f t="shared" si="19"/>
        <v>343.5725137020238</v>
      </c>
      <c r="AC58" s="235">
        <f t="shared" si="20"/>
        <v>-257.5006023823795</v>
      </c>
      <c r="AD58" s="235">
        <f t="shared" si="21"/>
        <v>-343.5725137020238</v>
      </c>
      <c r="AE58" s="235">
        <f t="shared" si="22"/>
        <v>257.5006023823795</v>
      </c>
      <c r="AF58" s="235">
        <f t="shared" si="23"/>
        <v>-343.5725137020238</v>
      </c>
    </row>
    <row r="59" spans="6:32" x14ac:dyDescent="0.25">
      <c r="F59">
        <f t="shared" si="24"/>
        <v>55</v>
      </c>
      <c r="G59" s="235">
        <f t="shared" si="0"/>
        <v>262.26913205612732</v>
      </c>
      <c r="H59" s="235">
        <f t="shared" si="1"/>
        <v>316.60701353393506</v>
      </c>
      <c r="I59" s="235">
        <f t="shared" si="2"/>
        <v>-262.26913205612732</v>
      </c>
      <c r="J59" s="235">
        <f t="shared" si="3"/>
        <v>316.60701353393506</v>
      </c>
      <c r="K59" s="235">
        <f t="shared" si="4"/>
        <v>-262.26913205612732</v>
      </c>
      <c r="L59" s="235">
        <f t="shared" si="5"/>
        <v>-316.60701353393506</v>
      </c>
      <c r="M59" s="235">
        <f t="shared" si="6"/>
        <v>262.26913205612732</v>
      </c>
      <c r="N59" s="235">
        <f t="shared" si="7"/>
        <v>-316.60701353393506</v>
      </c>
      <c r="P59" s="235">
        <f t="shared" si="8"/>
        <v>0</v>
      </c>
      <c r="Q59" s="235">
        <f t="shared" si="9"/>
        <v>362.10150745940484</v>
      </c>
      <c r="R59" s="235">
        <f t="shared" si="10"/>
        <v>0</v>
      </c>
      <c r="S59" s="235">
        <f t="shared" si="11"/>
        <v>362.10150745940484</v>
      </c>
      <c r="T59" s="235">
        <f t="shared" si="12"/>
        <v>0</v>
      </c>
      <c r="U59" s="235">
        <f t="shared" si="13"/>
        <v>-362.10150745940484</v>
      </c>
      <c r="V59" s="235">
        <f t="shared" si="14"/>
        <v>0</v>
      </c>
      <c r="W59" s="235">
        <f t="shared" si="15"/>
        <v>-362.10150745940484</v>
      </c>
      <c r="Y59" s="235">
        <f t="shared" si="16"/>
        <v>262.26913205612732</v>
      </c>
      <c r="Z59" s="235">
        <f t="shared" si="17"/>
        <v>342.86048616647543</v>
      </c>
      <c r="AA59" s="235">
        <f t="shared" si="18"/>
        <v>-262.26913205612732</v>
      </c>
      <c r="AB59" s="235">
        <f t="shared" si="19"/>
        <v>342.86048616647543</v>
      </c>
      <c r="AC59" s="235">
        <f t="shared" si="20"/>
        <v>-262.26913205612732</v>
      </c>
      <c r="AD59" s="235">
        <f t="shared" si="21"/>
        <v>-342.86048616647543</v>
      </c>
      <c r="AE59" s="235">
        <f t="shared" si="22"/>
        <v>262.26913205612732</v>
      </c>
      <c r="AF59" s="235">
        <f t="shared" si="23"/>
        <v>-342.86048616647543</v>
      </c>
    </row>
    <row r="60" spans="6:32" x14ac:dyDescent="0.25">
      <c r="F60">
        <f t="shared" si="24"/>
        <v>56</v>
      </c>
      <c r="G60" s="235">
        <f t="shared" si="0"/>
        <v>267.03766172987508</v>
      </c>
      <c r="H60" s="235">
        <f t="shared" si="1"/>
        <v>315.31555788609256</v>
      </c>
      <c r="I60" s="235">
        <f t="shared" si="2"/>
        <v>-267.03766172987508</v>
      </c>
      <c r="J60" s="235">
        <f t="shared" si="3"/>
        <v>315.31555788609256</v>
      </c>
      <c r="K60" s="235">
        <f t="shared" si="4"/>
        <v>-267.03766172987508</v>
      </c>
      <c r="L60" s="235">
        <f t="shared" si="5"/>
        <v>-315.31555788609256</v>
      </c>
      <c r="M60" s="235">
        <f t="shared" si="6"/>
        <v>267.03766172987508</v>
      </c>
      <c r="N60" s="235">
        <f t="shared" si="7"/>
        <v>-315.31555788609256</v>
      </c>
      <c r="P60" s="235">
        <f t="shared" si="8"/>
        <v>0</v>
      </c>
      <c r="Q60" s="235">
        <f t="shared" si="9"/>
        <v>362.10150745940484</v>
      </c>
      <c r="R60" s="235">
        <f t="shared" si="10"/>
        <v>0</v>
      </c>
      <c r="S60" s="235">
        <f t="shared" si="11"/>
        <v>362.10150745940484</v>
      </c>
      <c r="T60" s="235">
        <f t="shared" si="12"/>
        <v>0</v>
      </c>
      <c r="U60" s="235">
        <f t="shared" si="13"/>
        <v>-362.10150745940484</v>
      </c>
      <c r="V60" s="235">
        <f t="shared" si="14"/>
        <v>0</v>
      </c>
      <c r="W60" s="235">
        <f t="shared" si="15"/>
        <v>-362.10150745940484</v>
      </c>
      <c r="Y60" s="235">
        <f t="shared" si="16"/>
        <v>267.03766172987508</v>
      </c>
      <c r="Z60" s="235">
        <f t="shared" si="17"/>
        <v>342.13387104820816</v>
      </c>
      <c r="AA60" s="235">
        <f t="shared" si="18"/>
        <v>-267.03766172987508</v>
      </c>
      <c r="AB60" s="235">
        <f t="shared" si="19"/>
        <v>342.13387104820816</v>
      </c>
      <c r="AC60" s="235">
        <f t="shared" si="20"/>
        <v>-267.03766172987508</v>
      </c>
      <c r="AD60" s="235">
        <f t="shared" si="21"/>
        <v>-342.13387104820816</v>
      </c>
      <c r="AE60" s="235">
        <f t="shared" si="22"/>
        <v>267.03766172987508</v>
      </c>
      <c r="AF60" s="235">
        <f t="shared" si="23"/>
        <v>-342.13387104820816</v>
      </c>
    </row>
    <row r="61" spans="6:32" x14ac:dyDescent="0.25">
      <c r="F61">
        <f t="shared" si="24"/>
        <v>57</v>
      </c>
      <c r="G61" s="235">
        <f t="shared" si="0"/>
        <v>271.80619140362285</v>
      </c>
      <c r="H61" s="235">
        <f t="shared" si="1"/>
        <v>314.00983327840652</v>
      </c>
      <c r="I61" s="235">
        <f t="shared" si="2"/>
        <v>-271.80619140362285</v>
      </c>
      <c r="J61" s="235">
        <f t="shared" si="3"/>
        <v>314.00983327840652</v>
      </c>
      <c r="K61" s="235">
        <f t="shared" si="4"/>
        <v>-271.80619140362285</v>
      </c>
      <c r="L61" s="235">
        <f t="shared" si="5"/>
        <v>-314.00983327840652</v>
      </c>
      <c r="M61" s="235">
        <f t="shared" si="6"/>
        <v>271.80619140362285</v>
      </c>
      <c r="N61" s="235">
        <f t="shared" si="7"/>
        <v>-314.00983327840652</v>
      </c>
      <c r="P61" s="235">
        <f t="shared" si="8"/>
        <v>0</v>
      </c>
      <c r="Q61" s="235">
        <f t="shared" si="9"/>
        <v>362.10150745940484</v>
      </c>
      <c r="R61" s="235">
        <f t="shared" si="10"/>
        <v>0</v>
      </c>
      <c r="S61" s="235">
        <f t="shared" si="11"/>
        <v>362.10150745940484</v>
      </c>
      <c r="T61" s="235">
        <f t="shared" si="12"/>
        <v>0</v>
      </c>
      <c r="U61" s="235">
        <f t="shared" si="13"/>
        <v>-362.10150745940484</v>
      </c>
      <c r="V61" s="235">
        <f t="shared" si="14"/>
        <v>0</v>
      </c>
      <c r="W61" s="235">
        <f t="shared" si="15"/>
        <v>-362.10150745940484</v>
      </c>
      <c r="Y61" s="235">
        <f t="shared" si="16"/>
        <v>271.80619140362285</v>
      </c>
      <c r="Z61" s="235">
        <f t="shared" si="17"/>
        <v>341.39257520322184</v>
      </c>
      <c r="AA61" s="235">
        <f t="shared" si="18"/>
        <v>-271.80619140362285</v>
      </c>
      <c r="AB61" s="235">
        <f t="shared" si="19"/>
        <v>341.39257520322184</v>
      </c>
      <c r="AC61" s="235">
        <f t="shared" si="20"/>
        <v>-271.80619140362285</v>
      </c>
      <c r="AD61" s="235">
        <f t="shared" si="21"/>
        <v>-341.39257520322184</v>
      </c>
      <c r="AE61" s="235">
        <f t="shared" si="22"/>
        <v>271.80619140362285</v>
      </c>
      <c r="AF61" s="235">
        <f t="shared" si="23"/>
        <v>-341.39257520322184</v>
      </c>
    </row>
    <row r="62" spans="6:32" x14ac:dyDescent="0.25">
      <c r="F62">
        <f t="shared" si="24"/>
        <v>58</v>
      </c>
      <c r="G62" s="235">
        <f t="shared" si="0"/>
        <v>276.57472107737061</v>
      </c>
      <c r="H62" s="235">
        <f t="shared" si="1"/>
        <v>312.68984757018308</v>
      </c>
      <c r="I62" s="235">
        <f t="shared" si="2"/>
        <v>-276.57472107737061</v>
      </c>
      <c r="J62" s="235">
        <f t="shared" si="3"/>
        <v>312.68984757018308</v>
      </c>
      <c r="K62" s="235">
        <f t="shared" si="4"/>
        <v>-276.57472107737061</v>
      </c>
      <c r="L62" s="235">
        <f t="shared" si="5"/>
        <v>-312.68984757018308</v>
      </c>
      <c r="M62" s="235">
        <f t="shared" si="6"/>
        <v>276.57472107737061</v>
      </c>
      <c r="N62" s="235">
        <f t="shared" si="7"/>
        <v>-312.68984757018308</v>
      </c>
      <c r="P62" s="235">
        <f t="shared" si="8"/>
        <v>0</v>
      </c>
      <c r="Q62" s="235">
        <f t="shared" si="9"/>
        <v>362.10150745940484</v>
      </c>
      <c r="R62" s="235">
        <f t="shared" si="10"/>
        <v>0</v>
      </c>
      <c r="S62" s="235">
        <f t="shared" si="11"/>
        <v>362.10150745940484</v>
      </c>
      <c r="T62" s="235">
        <f t="shared" si="12"/>
        <v>0</v>
      </c>
      <c r="U62" s="235">
        <f t="shared" si="13"/>
        <v>-362.10150745940484</v>
      </c>
      <c r="V62" s="235">
        <f t="shared" si="14"/>
        <v>0</v>
      </c>
      <c r="W62" s="235">
        <f t="shared" si="15"/>
        <v>-362.10150745940484</v>
      </c>
      <c r="Y62" s="235">
        <f t="shared" si="16"/>
        <v>276.57472107737061</v>
      </c>
      <c r="Z62" s="235">
        <f t="shared" si="17"/>
        <v>340.63650278658997</v>
      </c>
      <c r="AA62" s="235">
        <f t="shared" si="18"/>
        <v>-276.57472107737061</v>
      </c>
      <c r="AB62" s="235">
        <f t="shared" si="19"/>
        <v>340.63650278658997</v>
      </c>
      <c r="AC62" s="235">
        <f t="shared" si="20"/>
        <v>-276.57472107737061</v>
      </c>
      <c r="AD62" s="235">
        <f t="shared" si="21"/>
        <v>-340.63650278658997</v>
      </c>
      <c r="AE62" s="235">
        <f t="shared" si="22"/>
        <v>276.57472107737061</v>
      </c>
      <c r="AF62" s="235">
        <f t="shared" si="23"/>
        <v>-340.63650278658997</v>
      </c>
    </row>
    <row r="63" spans="6:32" x14ac:dyDescent="0.25">
      <c r="F63">
        <f t="shared" si="24"/>
        <v>59</v>
      </c>
      <c r="G63" s="235">
        <f t="shared" si="0"/>
        <v>281.34325075111838</v>
      </c>
      <c r="H63" s="235">
        <f t="shared" si="1"/>
        <v>311.35560462842835</v>
      </c>
      <c r="I63" s="235">
        <f t="shared" si="2"/>
        <v>-281.34325075111838</v>
      </c>
      <c r="J63" s="235">
        <f t="shared" si="3"/>
        <v>311.35560462842835</v>
      </c>
      <c r="K63" s="235">
        <f t="shared" si="4"/>
        <v>-281.34325075111838</v>
      </c>
      <c r="L63" s="235">
        <f t="shared" si="5"/>
        <v>-311.35560462842835</v>
      </c>
      <c r="M63" s="235">
        <f t="shared" si="6"/>
        <v>281.34325075111838</v>
      </c>
      <c r="N63" s="235">
        <f t="shared" si="7"/>
        <v>-311.35560462842835</v>
      </c>
      <c r="P63" s="235">
        <f t="shared" si="8"/>
        <v>0</v>
      </c>
      <c r="Q63" s="235">
        <f t="shared" si="9"/>
        <v>362.10150745940484</v>
      </c>
      <c r="R63" s="235">
        <f t="shared" si="10"/>
        <v>0</v>
      </c>
      <c r="S63" s="235">
        <f t="shared" si="11"/>
        <v>362.10150745940484</v>
      </c>
      <c r="T63" s="235">
        <f t="shared" si="12"/>
        <v>0</v>
      </c>
      <c r="U63" s="235">
        <f t="shared" si="13"/>
        <v>-362.10150745940484</v>
      </c>
      <c r="V63" s="235">
        <f t="shared" si="14"/>
        <v>0</v>
      </c>
      <c r="W63" s="235">
        <f t="shared" si="15"/>
        <v>-362.10150745940484</v>
      </c>
      <c r="Y63" s="235">
        <f t="shared" si="16"/>
        <v>281.34325075111838</v>
      </c>
      <c r="Z63" s="235">
        <f t="shared" si="17"/>
        <v>339.86555518146452</v>
      </c>
      <c r="AA63" s="235">
        <f t="shared" si="18"/>
        <v>-281.34325075111838</v>
      </c>
      <c r="AB63" s="235">
        <f t="shared" si="19"/>
        <v>339.86555518146452</v>
      </c>
      <c r="AC63" s="235">
        <f t="shared" si="20"/>
        <v>-281.34325075111838</v>
      </c>
      <c r="AD63" s="235">
        <f t="shared" si="21"/>
        <v>-339.86555518146452</v>
      </c>
      <c r="AE63" s="235">
        <f t="shared" si="22"/>
        <v>281.34325075111838</v>
      </c>
      <c r="AF63" s="235">
        <f t="shared" si="23"/>
        <v>-339.86555518146452</v>
      </c>
    </row>
    <row r="64" spans="6:32" x14ac:dyDescent="0.25">
      <c r="F64">
        <f t="shared" si="24"/>
        <v>60</v>
      </c>
      <c r="G64" s="235">
        <f t="shared" si="0"/>
        <v>286.11178042486614</v>
      </c>
      <c r="H64" s="235">
        <f t="shared" si="1"/>
        <v>310.00710438584207</v>
      </c>
      <c r="I64" s="235">
        <f t="shared" si="2"/>
        <v>-286.11178042486614</v>
      </c>
      <c r="J64" s="235">
        <f t="shared" si="3"/>
        <v>310.00710438584207</v>
      </c>
      <c r="K64" s="235">
        <f t="shared" si="4"/>
        <v>-286.11178042486614</v>
      </c>
      <c r="L64" s="235">
        <f t="shared" si="5"/>
        <v>-310.00710438584207</v>
      </c>
      <c r="M64" s="235">
        <f t="shared" si="6"/>
        <v>286.11178042486614</v>
      </c>
      <c r="N64" s="235">
        <f t="shared" si="7"/>
        <v>-310.00710438584207</v>
      </c>
      <c r="P64" s="235">
        <f t="shared" si="8"/>
        <v>0</v>
      </c>
      <c r="Q64" s="235">
        <f t="shared" si="9"/>
        <v>362.10150745940484</v>
      </c>
      <c r="R64" s="235">
        <f t="shared" si="10"/>
        <v>0</v>
      </c>
      <c r="S64" s="235">
        <f t="shared" si="11"/>
        <v>362.10150745940484</v>
      </c>
      <c r="T64" s="235">
        <f t="shared" si="12"/>
        <v>0</v>
      </c>
      <c r="U64" s="235">
        <f t="shared" si="13"/>
        <v>-362.10150745940484</v>
      </c>
      <c r="V64" s="235">
        <f t="shared" si="14"/>
        <v>0</v>
      </c>
      <c r="W64" s="235">
        <f t="shared" si="15"/>
        <v>-362.10150745940484</v>
      </c>
      <c r="Y64" s="235">
        <f t="shared" si="16"/>
        <v>286.11178042486614</v>
      </c>
      <c r="Z64" s="235">
        <f t="shared" si="17"/>
        <v>339.07963092504855</v>
      </c>
      <c r="AA64" s="235">
        <f t="shared" si="18"/>
        <v>-286.11178042486614</v>
      </c>
      <c r="AB64" s="235">
        <f t="shared" si="19"/>
        <v>339.07963092504855</v>
      </c>
      <c r="AC64" s="235">
        <f t="shared" si="20"/>
        <v>-286.11178042486614</v>
      </c>
      <c r="AD64" s="235">
        <f t="shared" si="21"/>
        <v>-339.07963092504855</v>
      </c>
      <c r="AE64" s="235">
        <f t="shared" si="22"/>
        <v>286.11178042486614</v>
      </c>
      <c r="AF64" s="235">
        <f t="shared" si="23"/>
        <v>-339.07963092504855</v>
      </c>
    </row>
    <row r="65" spans="6:32" x14ac:dyDescent="0.25">
      <c r="F65">
        <f t="shared" si="24"/>
        <v>61</v>
      </c>
      <c r="G65" s="235">
        <f t="shared" si="0"/>
        <v>290.8803100986139</v>
      </c>
      <c r="H65" s="235">
        <f t="shared" si="1"/>
        <v>308.64434289086722</v>
      </c>
      <c r="I65" s="235">
        <f t="shared" si="2"/>
        <v>-290.8803100986139</v>
      </c>
      <c r="J65" s="235">
        <f t="shared" si="3"/>
        <v>308.64434289086722</v>
      </c>
      <c r="K65" s="235">
        <f t="shared" si="4"/>
        <v>-290.8803100986139</v>
      </c>
      <c r="L65" s="235">
        <f t="shared" si="5"/>
        <v>-308.64434289086722</v>
      </c>
      <c r="M65" s="235">
        <f t="shared" si="6"/>
        <v>290.8803100986139</v>
      </c>
      <c r="N65" s="235">
        <f t="shared" si="7"/>
        <v>-308.64434289086722</v>
      </c>
      <c r="P65" s="235">
        <f t="shared" si="8"/>
        <v>0</v>
      </c>
      <c r="Q65" s="235">
        <f t="shared" si="9"/>
        <v>362.10150745940484</v>
      </c>
      <c r="R65" s="235">
        <f t="shared" si="10"/>
        <v>0</v>
      </c>
      <c r="S65" s="235">
        <f t="shared" si="11"/>
        <v>362.10150745940484</v>
      </c>
      <c r="T65" s="235">
        <f t="shared" si="12"/>
        <v>0</v>
      </c>
      <c r="U65" s="235">
        <f t="shared" si="13"/>
        <v>-362.10150745940484</v>
      </c>
      <c r="V65" s="235">
        <f t="shared" si="14"/>
        <v>0</v>
      </c>
      <c r="W65" s="235">
        <f t="shared" si="15"/>
        <v>-362.10150745940484</v>
      </c>
      <c r="Y65" s="235">
        <f t="shared" si="16"/>
        <v>290.8803100986139</v>
      </c>
      <c r="Z65" s="235">
        <f t="shared" si="17"/>
        <v>338.27862563139377</v>
      </c>
      <c r="AA65" s="235">
        <f t="shared" si="18"/>
        <v>-290.8803100986139</v>
      </c>
      <c r="AB65" s="235">
        <f t="shared" si="19"/>
        <v>338.27862563139377</v>
      </c>
      <c r="AC65" s="235">
        <f t="shared" si="20"/>
        <v>-290.8803100986139</v>
      </c>
      <c r="AD65" s="235">
        <f t="shared" si="21"/>
        <v>-338.27862563139377</v>
      </c>
      <c r="AE65" s="235">
        <f t="shared" si="22"/>
        <v>290.8803100986139</v>
      </c>
      <c r="AF65" s="235">
        <f t="shared" si="23"/>
        <v>-338.27862563139377</v>
      </c>
    </row>
    <row r="66" spans="6:32" x14ac:dyDescent="0.25">
      <c r="F66">
        <f t="shared" si="24"/>
        <v>62</v>
      </c>
      <c r="G66" s="235">
        <f t="shared" si="0"/>
        <v>295.64883977236167</v>
      </c>
      <c r="H66" s="235">
        <f t="shared" si="1"/>
        <v>307.26731235016462</v>
      </c>
      <c r="I66" s="235">
        <f t="shared" si="2"/>
        <v>-295.64883977236167</v>
      </c>
      <c r="J66" s="235">
        <f t="shared" si="3"/>
        <v>307.26731235016462</v>
      </c>
      <c r="K66" s="235">
        <f t="shared" si="4"/>
        <v>-295.64883977236167</v>
      </c>
      <c r="L66" s="235">
        <f t="shared" si="5"/>
        <v>-307.26731235016462</v>
      </c>
      <c r="M66" s="235">
        <f t="shared" si="6"/>
        <v>295.64883977236167</v>
      </c>
      <c r="N66" s="235">
        <f t="shared" si="7"/>
        <v>-307.26731235016462</v>
      </c>
      <c r="P66" s="235">
        <f t="shared" si="8"/>
        <v>0</v>
      </c>
      <c r="Q66" s="235">
        <f t="shared" si="9"/>
        <v>362.10150745940484</v>
      </c>
      <c r="R66" s="235">
        <f t="shared" si="10"/>
        <v>0</v>
      </c>
      <c r="S66" s="235">
        <f t="shared" si="11"/>
        <v>362.10150745940484</v>
      </c>
      <c r="T66" s="235">
        <f t="shared" si="12"/>
        <v>0</v>
      </c>
      <c r="U66" s="235">
        <f t="shared" si="13"/>
        <v>-362.10150745940484</v>
      </c>
      <c r="V66" s="235">
        <f t="shared" si="14"/>
        <v>0</v>
      </c>
      <c r="W66" s="235">
        <f t="shared" si="15"/>
        <v>-362.10150745940484</v>
      </c>
      <c r="Y66" s="235">
        <f t="shared" si="16"/>
        <v>295.64883977236167</v>
      </c>
      <c r="Z66" s="235">
        <f t="shared" si="17"/>
        <v>337.4624319108687</v>
      </c>
      <c r="AA66" s="235">
        <f t="shared" si="18"/>
        <v>-295.64883977236167</v>
      </c>
      <c r="AB66" s="235">
        <f t="shared" si="19"/>
        <v>337.4624319108687</v>
      </c>
      <c r="AC66" s="235">
        <f t="shared" si="20"/>
        <v>-295.64883977236167</v>
      </c>
      <c r="AD66" s="235">
        <f t="shared" si="21"/>
        <v>-337.4624319108687</v>
      </c>
      <c r="AE66" s="235">
        <f t="shared" si="22"/>
        <v>295.64883977236167</v>
      </c>
      <c r="AF66" s="235">
        <f t="shared" si="23"/>
        <v>-337.4624319108687</v>
      </c>
    </row>
    <row r="67" spans="6:32" x14ac:dyDescent="0.25">
      <c r="F67">
        <f t="shared" si="24"/>
        <v>63</v>
      </c>
      <c r="G67" s="235">
        <f t="shared" si="0"/>
        <v>300.41736944610943</v>
      </c>
      <c r="H67" s="235">
        <f t="shared" si="1"/>
        <v>305.87600116383771</v>
      </c>
      <c r="I67" s="235">
        <f t="shared" si="2"/>
        <v>-300.41736944610943</v>
      </c>
      <c r="J67" s="235">
        <f t="shared" si="3"/>
        <v>305.87600116383771</v>
      </c>
      <c r="K67" s="235">
        <f t="shared" si="4"/>
        <v>-300.41736944610943</v>
      </c>
      <c r="L67" s="235">
        <f t="shared" si="5"/>
        <v>-305.87600116383771</v>
      </c>
      <c r="M67" s="235">
        <f t="shared" si="6"/>
        <v>300.41736944610943</v>
      </c>
      <c r="N67" s="235">
        <f t="shared" si="7"/>
        <v>-305.87600116383771</v>
      </c>
      <c r="P67" s="235">
        <f t="shared" si="8"/>
        <v>0</v>
      </c>
      <c r="Q67" s="235">
        <f t="shared" si="9"/>
        <v>362.10150745940484</v>
      </c>
      <c r="R67" s="235">
        <f t="shared" si="10"/>
        <v>0</v>
      </c>
      <c r="S67" s="235">
        <f t="shared" si="11"/>
        <v>362.10150745940484</v>
      </c>
      <c r="T67" s="235">
        <f t="shared" si="12"/>
        <v>0</v>
      </c>
      <c r="U67" s="235">
        <f t="shared" si="13"/>
        <v>-362.10150745940484</v>
      </c>
      <c r="V67" s="235">
        <f t="shared" si="14"/>
        <v>0</v>
      </c>
      <c r="W67" s="235">
        <f t="shared" si="15"/>
        <v>-362.10150745940484</v>
      </c>
      <c r="Y67" s="235">
        <f t="shared" si="16"/>
        <v>300.41736944610943</v>
      </c>
      <c r="Z67" s="235">
        <f t="shared" si="17"/>
        <v>336.63093928613608</v>
      </c>
      <c r="AA67" s="235">
        <f t="shared" si="18"/>
        <v>-300.41736944610943</v>
      </c>
      <c r="AB67" s="235">
        <f t="shared" si="19"/>
        <v>336.63093928613608</v>
      </c>
      <c r="AC67" s="235">
        <f t="shared" si="20"/>
        <v>-300.41736944610943</v>
      </c>
      <c r="AD67" s="235">
        <f t="shared" si="21"/>
        <v>-336.63093928613608</v>
      </c>
      <c r="AE67" s="235">
        <f t="shared" si="22"/>
        <v>300.41736944610943</v>
      </c>
      <c r="AF67" s="235">
        <f t="shared" si="23"/>
        <v>-336.63093928613608</v>
      </c>
    </row>
    <row r="68" spans="6:32" x14ac:dyDescent="0.25">
      <c r="F68">
        <f t="shared" si="24"/>
        <v>64</v>
      </c>
      <c r="G68" s="235">
        <f t="shared" si="0"/>
        <v>305.1858991198572</v>
      </c>
      <c r="H68" s="235">
        <f t="shared" si="1"/>
        <v>304.47039395368893</v>
      </c>
      <c r="I68" s="235">
        <f t="shared" si="2"/>
        <v>-305.1858991198572</v>
      </c>
      <c r="J68" s="235">
        <f t="shared" si="3"/>
        <v>304.47039395368893</v>
      </c>
      <c r="K68" s="235">
        <f t="shared" si="4"/>
        <v>-305.1858991198572</v>
      </c>
      <c r="L68" s="235">
        <f t="shared" si="5"/>
        <v>-304.47039395368893</v>
      </c>
      <c r="M68" s="235">
        <f t="shared" si="6"/>
        <v>305.1858991198572</v>
      </c>
      <c r="N68" s="235">
        <f t="shared" si="7"/>
        <v>-304.47039395368893</v>
      </c>
      <c r="P68" s="235">
        <f t="shared" si="8"/>
        <v>0</v>
      </c>
      <c r="Q68" s="235">
        <f t="shared" si="9"/>
        <v>362.10150745940484</v>
      </c>
      <c r="R68" s="235">
        <f t="shared" si="10"/>
        <v>0</v>
      </c>
      <c r="S68" s="235">
        <f t="shared" si="11"/>
        <v>362.10150745940484</v>
      </c>
      <c r="T68" s="235">
        <f t="shared" si="12"/>
        <v>0</v>
      </c>
      <c r="U68" s="235">
        <f t="shared" si="13"/>
        <v>-362.10150745940484</v>
      </c>
      <c r="V68" s="235">
        <f t="shared" si="14"/>
        <v>0</v>
      </c>
      <c r="W68" s="235">
        <f t="shared" si="15"/>
        <v>-362.10150745940484</v>
      </c>
      <c r="Y68" s="235">
        <f t="shared" si="16"/>
        <v>305.1858991198572</v>
      </c>
      <c r="Z68" s="235">
        <f t="shared" si="17"/>
        <v>335.78403410446759</v>
      </c>
      <c r="AA68" s="235">
        <f t="shared" si="18"/>
        <v>-305.1858991198572</v>
      </c>
      <c r="AB68" s="235">
        <f t="shared" si="19"/>
        <v>335.78403410446759</v>
      </c>
      <c r="AC68" s="235">
        <f t="shared" si="20"/>
        <v>-305.1858991198572</v>
      </c>
      <c r="AD68" s="235">
        <f t="shared" si="21"/>
        <v>-335.78403410446759</v>
      </c>
      <c r="AE68" s="235">
        <f t="shared" si="22"/>
        <v>305.1858991198572</v>
      </c>
      <c r="AF68" s="235">
        <f t="shared" si="23"/>
        <v>-335.78403410446759</v>
      </c>
    </row>
    <row r="69" spans="6:32" x14ac:dyDescent="0.25">
      <c r="F69">
        <f t="shared" si="24"/>
        <v>65</v>
      </c>
      <c r="G69" s="235">
        <f t="shared" ref="G69:G132" si="25">IF($B$8="G",F69/$F$175*$B$6,0)</f>
        <v>309.95442879360496</v>
      </c>
      <c r="H69" s="235">
        <f t="shared" ref="H69:H132" si="26">$C$5*(1-(G69/$B$6)^1.5)^(1/1.5)</f>
        <v>303.05047158475344</v>
      </c>
      <c r="I69" s="235">
        <f t="shared" ref="I69:I132" si="27">-G69</f>
        <v>-309.95442879360496</v>
      </c>
      <c r="J69" s="235">
        <f t="shared" ref="J69:J132" si="28">H69</f>
        <v>303.05047158475344</v>
      </c>
      <c r="K69" s="235">
        <f t="shared" ref="K69:K132" si="29">-G69</f>
        <v>-309.95442879360496</v>
      </c>
      <c r="L69" s="235">
        <f t="shared" ref="L69:L132" si="30">-H69</f>
        <v>-303.05047158475344</v>
      </c>
      <c r="M69" s="235">
        <f t="shared" ref="M69:M132" si="31">G69</f>
        <v>309.95442879360496</v>
      </c>
      <c r="N69" s="235">
        <f t="shared" ref="N69:N132" si="32">-H69</f>
        <v>-303.05047158475344</v>
      </c>
      <c r="P69" s="235">
        <f t="shared" ref="P69:P132" si="33">IF($B$8="N",F69/$F$175*$B$6,0)</f>
        <v>0</v>
      </c>
      <c r="Q69" s="235">
        <f t="shared" ref="Q69:Q132" si="34">$C$5*(1-(P69/$B$6)^1)^(1)</f>
        <v>362.10150745940484</v>
      </c>
      <c r="R69" s="235">
        <f t="shared" ref="R69:R132" si="35">-P69</f>
        <v>0</v>
      </c>
      <c r="S69" s="235">
        <f t="shared" ref="S69:S132" si="36">Q69</f>
        <v>362.10150745940484</v>
      </c>
      <c r="T69" s="235">
        <f t="shared" ref="T69:T132" si="37">-P69</f>
        <v>0</v>
      </c>
      <c r="U69" s="235">
        <f t="shared" ref="U69:U132" si="38">-Q69</f>
        <v>-362.10150745940484</v>
      </c>
      <c r="V69" s="235">
        <f t="shared" ref="V69:V132" si="39">P69</f>
        <v>0</v>
      </c>
      <c r="W69" s="235">
        <f t="shared" ref="W69:W132" si="40">-Q69</f>
        <v>-362.10150745940484</v>
      </c>
      <c r="Y69" s="235">
        <f t="shared" ref="Y69:Y132" si="41">F69/$F$175*$B$6</f>
        <v>309.95442879360496</v>
      </c>
      <c r="Z69" s="235">
        <f t="shared" ref="Z69:Z132" si="42">$C$5*(1-(Y69/$B$6)^2)^(1/2)</f>
        <v>334.92159944621335</v>
      </c>
      <c r="AA69" s="235">
        <f t="shared" ref="AA69:AA132" si="43">-Y69</f>
        <v>-309.95442879360496</v>
      </c>
      <c r="AB69" s="235">
        <f t="shared" ref="AB69:AB132" si="44">Z69</f>
        <v>334.92159944621335</v>
      </c>
      <c r="AC69" s="235">
        <f t="shared" ref="AC69:AC132" si="45">-Y69</f>
        <v>-309.95442879360496</v>
      </c>
      <c r="AD69" s="235">
        <f t="shared" ref="AD69:AD132" si="46">-Z69</f>
        <v>-334.92159944621335</v>
      </c>
      <c r="AE69" s="235">
        <f t="shared" ref="AE69:AE132" si="47">Y69</f>
        <v>309.95442879360496</v>
      </c>
      <c r="AF69" s="235">
        <f t="shared" ref="AF69:AF132" si="48">-Z69</f>
        <v>-334.92159944621335</v>
      </c>
    </row>
    <row r="70" spans="6:32" x14ac:dyDescent="0.25">
      <c r="F70">
        <f t="shared" ref="F70:F133" si="49">F69+1</f>
        <v>66</v>
      </c>
      <c r="G70" s="235">
        <f t="shared" si="25"/>
        <v>314.72295846735273</v>
      </c>
      <c r="H70" s="235">
        <f t="shared" si="26"/>
        <v>301.61621118031599</v>
      </c>
      <c r="I70" s="235">
        <f t="shared" si="27"/>
        <v>-314.72295846735273</v>
      </c>
      <c r="J70" s="235">
        <f t="shared" si="28"/>
        <v>301.61621118031599</v>
      </c>
      <c r="K70" s="235">
        <f t="shared" si="29"/>
        <v>-314.72295846735273</v>
      </c>
      <c r="L70" s="235">
        <f t="shared" si="30"/>
        <v>-301.61621118031599</v>
      </c>
      <c r="M70" s="235">
        <f t="shared" si="31"/>
        <v>314.72295846735273</v>
      </c>
      <c r="N70" s="235">
        <f t="shared" si="32"/>
        <v>-301.61621118031599</v>
      </c>
      <c r="P70" s="235">
        <f t="shared" si="33"/>
        <v>0</v>
      </c>
      <c r="Q70" s="235">
        <f t="shared" si="34"/>
        <v>362.10150745940484</v>
      </c>
      <c r="R70" s="235">
        <f t="shared" si="35"/>
        <v>0</v>
      </c>
      <c r="S70" s="235">
        <f t="shared" si="36"/>
        <v>362.10150745940484</v>
      </c>
      <c r="T70" s="235">
        <f t="shared" si="37"/>
        <v>0</v>
      </c>
      <c r="U70" s="235">
        <f t="shared" si="38"/>
        <v>-362.10150745940484</v>
      </c>
      <c r="V70" s="235">
        <f t="shared" si="39"/>
        <v>0</v>
      </c>
      <c r="W70" s="235">
        <f t="shared" si="40"/>
        <v>-362.10150745940484</v>
      </c>
      <c r="Y70" s="235">
        <f t="shared" si="41"/>
        <v>314.72295846735273</v>
      </c>
      <c r="Z70" s="235">
        <f t="shared" si="42"/>
        <v>334.04351502923208</v>
      </c>
      <c r="AA70" s="235">
        <f t="shared" si="43"/>
        <v>-314.72295846735273</v>
      </c>
      <c r="AB70" s="235">
        <f t="shared" si="44"/>
        <v>334.04351502923208</v>
      </c>
      <c r="AC70" s="235">
        <f t="shared" si="45"/>
        <v>-314.72295846735273</v>
      </c>
      <c r="AD70" s="235">
        <f t="shared" si="46"/>
        <v>-334.04351502923208</v>
      </c>
      <c r="AE70" s="235">
        <f t="shared" si="47"/>
        <v>314.72295846735273</v>
      </c>
      <c r="AF70" s="235">
        <f t="shared" si="48"/>
        <v>-334.04351502923208</v>
      </c>
    </row>
    <row r="71" spans="6:32" x14ac:dyDescent="0.25">
      <c r="F71">
        <f t="shared" si="49"/>
        <v>67</v>
      </c>
      <c r="G71" s="235">
        <f t="shared" si="25"/>
        <v>319.49148814110055</v>
      </c>
      <c r="H71" s="235">
        <f t="shared" si="26"/>
        <v>300.16758613058937</v>
      </c>
      <c r="I71" s="235">
        <f t="shared" si="27"/>
        <v>-319.49148814110055</v>
      </c>
      <c r="J71" s="235">
        <f t="shared" si="28"/>
        <v>300.16758613058937</v>
      </c>
      <c r="K71" s="235">
        <f t="shared" si="29"/>
        <v>-319.49148814110055</v>
      </c>
      <c r="L71" s="235">
        <f t="shared" si="30"/>
        <v>-300.16758613058937</v>
      </c>
      <c r="M71" s="235">
        <f t="shared" si="31"/>
        <v>319.49148814110055</v>
      </c>
      <c r="N71" s="235">
        <f t="shared" si="32"/>
        <v>-300.16758613058937</v>
      </c>
      <c r="P71" s="235">
        <f t="shared" si="33"/>
        <v>0</v>
      </c>
      <c r="Q71" s="235">
        <f t="shared" si="34"/>
        <v>362.10150745940484</v>
      </c>
      <c r="R71" s="235">
        <f t="shared" si="35"/>
        <v>0</v>
      </c>
      <c r="S71" s="235">
        <f t="shared" si="36"/>
        <v>362.10150745940484</v>
      </c>
      <c r="T71" s="235">
        <f t="shared" si="37"/>
        <v>0</v>
      </c>
      <c r="U71" s="235">
        <f t="shared" si="38"/>
        <v>-362.10150745940484</v>
      </c>
      <c r="V71" s="235">
        <f t="shared" si="39"/>
        <v>0</v>
      </c>
      <c r="W71" s="235">
        <f t="shared" si="40"/>
        <v>-362.10150745940484</v>
      </c>
      <c r="Y71" s="235">
        <f t="shared" si="41"/>
        <v>319.49148814110055</v>
      </c>
      <c r="Z71" s="235">
        <f t="shared" si="42"/>
        <v>333.1496571090766</v>
      </c>
      <c r="AA71" s="235">
        <f t="shared" si="43"/>
        <v>-319.49148814110055</v>
      </c>
      <c r="AB71" s="235">
        <f t="shared" si="44"/>
        <v>333.1496571090766</v>
      </c>
      <c r="AC71" s="235">
        <f t="shared" si="45"/>
        <v>-319.49148814110055</v>
      </c>
      <c r="AD71" s="235">
        <f t="shared" si="46"/>
        <v>-333.1496571090766</v>
      </c>
      <c r="AE71" s="235">
        <f t="shared" si="47"/>
        <v>319.49148814110055</v>
      </c>
      <c r="AF71" s="235">
        <f t="shared" si="48"/>
        <v>-333.1496571090766</v>
      </c>
    </row>
    <row r="72" spans="6:32" x14ac:dyDescent="0.25">
      <c r="F72">
        <f t="shared" si="49"/>
        <v>68</v>
      </c>
      <c r="G72" s="235">
        <f t="shared" si="25"/>
        <v>324.26001781484831</v>
      </c>
      <c r="H72" s="235">
        <f t="shared" si="26"/>
        <v>298.70456609519607</v>
      </c>
      <c r="I72" s="235">
        <f t="shared" si="27"/>
        <v>-324.26001781484831</v>
      </c>
      <c r="J72" s="235">
        <f t="shared" si="28"/>
        <v>298.70456609519607</v>
      </c>
      <c r="K72" s="235">
        <f t="shared" si="29"/>
        <v>-324.26001781484831</v>
      </c>
      <c r="L72" s="235">
        <f t="shared" si="30"/>
        <v>-298.70456609519607</v>
      </c>
      <c r="M72" s="235">
        <f t="shared" si="31"/>
        <v>324.26001781484831</v>
      </c>
      <c r="N72" s="235">
        <f t="shared" si="32"/>
        <v>-298.70456609519607</v>
      </c>
      <c r="P72" s="235">
        <f t="shared" si="33"/>
        <v>0</v>
      </c>
      <c r="Q72" s="235">
        <f t="shared" si="34"/>
        <v>362.10150745940484</v>
      </c>
      <c r="R72" s="235">
        <f t="shared" si="35"/>
        <v>0</v>
      </c>
      <c r="S72" s="235">
        <f t="shared" si="36"/>
        <v>362.10150745940484</v>
      </c>
      <c r="T72" s="235">
        <f t="shared" si="37"/>
        <v>0</v>
      </c>
      <c r="U72" s="235">
        <f t="shared" si="38"/>
        <v>-362.10150745940484</v>
      </c>
      <c r="V72" s="235">
        <f t="shared" si="39"/>
        <v>0</v>
      </c>
      <c r="W72" s="235">
        <f t="shared" si="40"/>
        <v>-362.10150745940484</v>
      </c>
      <c r="Y72" s="235">
        <f t="shared" si="41"/>
        <v>324.26001781484831</v>
      </c>
      <c r="Z72" s="235">
        <f t="shared" si="42"/>
        <v>332.23989837471561</v>
      </c>
      <c r="AA72" s="235">
        <f t="shared" si="43"/>
        <v>-324.26001781484831</v>
      </c>
      <c r="AB72" s="235">
        <f t="shared" si="44"/>
        <v>332.23989837471561</v>
      </c>
      <c r="AC72" s="235">
        <f t="shared" si="45"/>
        <v>-324.26001781484831</v>
      </c>
      <c r="AD72" s="235">
        <f t="shared" si="46"/>
        <v>-332.23989837471561</v>
      </c>
      <c r="AE72" s="235">
        <f t="shared" si="47"/>
        <v>324.26001781484831</v>
      </c>
      <c r="AF72" s="235">
        <f t="shared" si="48"/>
        <v>-332.23989837471561</v>
      </c>
    </row>
    <row r="73" spans="6:32" x14ac:dyDescent="0.25">
      <c r="F73">
        <f t="shared" si="49"/>
        <v>69</v>
      </c>
      <c r="G73" s="235">
        <f t="shared" si="25"/>
        <v>329.02854748859608</v>
      </c>
      <c r="H73" s="235">
        <f t="shared" si="26"/>
        <v>297.2271169995692</v>
      </c>
      <c r="I73" s="235">
        <f t="shared" si="27"/>
        <v>-329.02854748859608</v>
      </c>
      <c r="J73" s="235">
        <f t="shared" si="28"/>
        <v>297.2271169995692</v>
      </c>
      <c r="K73" s="235">
        <f t="shared" si="29"/>
        <v>-329.02854748859608</v>
      </c>
      <c r="L73" s="235">
        <f t="shared" si="30"/>
        <v>-297.2271169995692</v>
      </c>
      <c r="M73" s="235">
        <f t="shared" si="31"/>
        <v>329.02854748859608</v>
      </c>
      <c r="N73" s="235">
        <f t="shared" si="32"/>
        <v>-297.2271169995692</v>
      </c>
      <c r="P73" s="235">
        <f t="shared" si="33"/>
        <v>0</v>
      </c>
      <c r="Q73" s="235">
        <f t="shared" si="34"/>
        <v>362.10150745940484</v>
      </c>
      <c r="R73" s="235">
        <f t="shared" si="35"/>
        <v>0</v>
      </c>
      <c r="S73" s="235">
        <f t="shared" si="36"/>
        <v>362.10150745940484</v>
      </c>
      <c r="T73" s="235">
        <f t="shared" si="37"/>
        <v>0</v>
      </c>
      <c r="U73" s="235">
        <f t="shared" si="38"/>
        <v>-362.10150745940484</v>
      </c>
      <c r="V73" s="235">
        <f t="shared" si="39"/>
        <v>0</v>
      </c>
      <c r="W73" s="235">
        <f t="shared" si="40"/>
        <v>-362.10150745940484</v>
      </c>
      <c r="Y73" s="235">
        <f t="shared" si="41"/>
        <v>329.02854748859608</v>
      </c>
      <c r="Z73" s="235">
        <f t="shared" si="42"/>
        <v>331.31410783955886</v>
      </c>
      <c r="AA73" s="235">
        <f t="shared" si="43"/>
        <v>-329.02854748859608</v>
      </c>
      <c r="AB73" s="235">
        <f t="shared" si="44"/>
        <v>331.31410783955886</v>
      </c>
      <c r="AC73" s="235">
        <f t="shared" si="45"/>
        <v>-329.02854748859608</v>
      </c>
      <c r="AD73" s="235">
        <f t="shared" si="46"/>
        <v>-331.31410783955886</v>
      </c>
      <c r="AE73" s="235">
        <f t="shared" si="47"/>
        <v>329.02854748859608</v>
      </c>
      <c r="AF73" s="235">
        <f t="shared" si="48"/>
        <v>-331.31410783955886</v>
      </c>
    </row>
    <row r="74" spans="6:32" x14ac:dyDescent="0.25">
      <c r="F74">
        <f t="shared" si="49"/>
        <v>70</v>
      </c>
      <c r="G74" s="235">
        <f t="shared" si="25"/>
        <v>333.79707716234384</v>
      </c>
      <c r="H74" s="235">
        <f t="shared" si="26"/>
        <v>295.73520102536111</v>
      </c>
      <c r="I74" s="235">
        <f t="shared" si="27"/>
        <v>-333.79707716234384</v>
      </c>
      <c r="J74" s="235">
        <f t="shared" si="28"/>
        <v>295.73520102536111</v>
      </c>
      <c r="K74" s="235">
        <f t="shared" si="29"/>
        <v>-333.79707716234384</v>
      </c>
      <c r="L74" s="235">
        <f t="shared" si="30"/>
        <v>-295.73520102536111</v>
      </c>
      <c r="M74" s="235">
        <f t="shared" si="31"/>
        <v>333.79707716234384</v>
      </c>
      <c r="N74" s="235">
        <f t="shared" si="32"/>
        <v>-295.73520102536111</v>
      </c>
      <c r="P74" s="235">
        <f t="shared" si="33"/>
        <v>0</v>
      </c>
      <c r="Q74" s="235">
        <f t="shared" si="34"/>
        <v>362.10150745940484</v>
      </c>
      <c r="R74" s="235">
        <f t="shared" si="35"/>
        <v>0</v>
      </c>
      <c r="S74" s="235">
        <f t="shared" si="36"/>
        <v>362.10150745940484</v>
      </c>
      <c r="T74" s="235">
        <f t="shared" si="37"/>
        <v>0</v>
      </c>
      <c r="U74" s="235">
        <f t="shared" si="38"/>
        <v>-362.10150745940484</v>
      </c>
      <c r="V74" s="235">
        <f t="shared" si="39"/>
        <v>0</v>
      </c>
      <c r="W74" s="235">
        <f t="shared" si="40"/>
        <v>-362.10150745940484</v>
      </c>
      <c r="Y74" s="235">
        <f t="shared" si="41"/>
        <v>333.79707716234384</v>
      </c>
      <c r="Z74" s="235">
        <f t="shared" si="42"/>
        <v>330.37215072753918</v>
      </c>
      <c r="AA74" s="235">
        <f t="shared" si="43"/>
        <v>-333.79707716234384</v>
      </c>
      <c r="AB74" s="235">
        <f t="shared" si="44"/>
        <v>330.37215072753918</v>
      </c>
      <c r="AC74" s="235">
        <f t="shared" si="45"/>
        <v>-333.79707716234384</v>
      </c>
      <c r="AD74" s="235">
        <f t="shared" si="46"/>
        <v>-330.37215072753918</v>
      </c>
      <c r="AE74" s="235">
        <f t="shared" si="47"/>
        <v>333.79707716234384</v>
      </c>
      <c r="AF74" s="235">
        <f t="shared" si="48"/>
        <v>-330.37215072753918</v>
      </c>
    </row>
    <row r="75" spans="6:32" x14ac:dyDescent="0.25">
      <c r="F75">
        <f t="shared" si="49"/>
        <v>71</v>
      </c>
      <c r="G75" s="235">
        <f t="shared" si="25"/>
        <v>338.5656068360916</v>
      </c>
      <c r="H75" s="235">
        <f t="shared" si="26"/>
        <v>294.22877659491888</v>
      </c>
      <c r="I75" s="235">
        <f t="shared" si="27"/>
        <v>-338.5656068360916</v>
      </c>
      <c r="J75" s="235">
        <f t="shared" si="28"/>
        <v>294.22877659491888</v>
      </c>
      <c r="K75" s="235">
        <f t="shared" si="29"/>
        <v>-338.5656068360916</v>
      </c>
      <c r="L75" s="235">
        <f t="shared" si="30"/>
        <v>-294.22877659491888</v>
      </c>
      <c r="M75" s="235">
        <f t="shared" si="31"/>
        <v>338.5656068360916</v>
      </c>
      <c r="N75" s="235">
        <f t="shared" si="32"/>
        <v>-294.22877659491888</v>
      </c>
      <c r="P75" s="235">
        <f t="shared" si="33"/>
        <v>0</v>
      </c>
      <c r="Q75" s="235">
        <f t="shared" si="34"/>
        <v>362.10150745940484</v>
      </c>
      <c r="R75" s="235">
        <f t="shared" si="35"/>
        <v>0</v>
      </c>
      <c r="S75" s="235">
        <f t="shared" si="36"/>
        <v>362.10150745940484</v>
      </c>
      <c r="T75" s="235">
        <f t="shared" si="37"/>
        <v>0</v>
      </c>
      <c r="U75" s="235">
        <f t="shared" si="38"/>
        <v>-362.10150745940484</v>
      </c>
      <c r="V75" s="235">
        <f t="shared" si="39"/>
        <v>0</v>
      </c>
      <c r="W75" s="235">
        <f t="shared" si="40"/>
        <v>-362.10150745940484</v>
      </c>
      <c r="Y75" s="235">
        <f t="shared" si="41"/>
        <v>338.5656068360916</v>
      </c>
      <c r="Z75" s="235">
        <f t="shared" si="42"/>
        <v>329.41388835398601</v>
      </c>
      <c r="AA75" s="235">
        <f t="shared" si="43"/>
        <v>-338.5656068360916</v>
      </c>
      <c r="AB75" s="235">
        <f t="shared" si="44"/>
        <v>329.41388835398601</v>
      </c>
      <c r="AC75" s="235">
        <f t="shared" si="45"/>
        <v>-338.5656068360916</v>
      </c>
      <c r="AD75" s="235">
        <f t="shared" si="46"/>
        <v>-329.41388835398601</v>
      </c>
      <c r="AE75" s="235">
        <f t="shared" si="47"/>
        <v>338.5656068360916</v>
      </c>
      <c r="AF75" s="235">
        <f t="shared" si="48"/>
        <v>-329.41388835398601</v>
      </c>
    </row>
    <row r="76" spans="6:32" x14ac:dyDescent="0.25">
      <c r="F76">
        <f t="shared" si="49"/>
        <v>72</v>
      </c>
      <c r="G76" s="235">
        <f t="shared" si="25"/>
        <v>343.33413650983937</v>
      </c>
      <c r="H76" s="235">
        <f t="shared" si="26"/>
        <v>292.70779834986376</v>
      </c>
      <c r="I76" s="235">
        <f t="shared" si="27"/>
        <v>-343.33413650983937</v>
      </c>
      <c r="J76" s="235">
        <f t="shared" si="28"/>
        <v>292.70779834986376</v>
      </c>
      <c r="K76" s="235">
        <f t="shared" si="29"/>
        <v>-343.33413650983937</v>
      </c>
      <c r="L76" s="235">
        <f t="shared" si="30"/>
        <v>-292.70779834986376</v>
      </c>
      <c r="M76" s="235">
        <f t="shared" si="31"/>
        <v>343.33413650983937</v>
      </c>
      <c r="N76" s="235">
        <f t="shared" si="32"/>
        <v>-292.70779834986376</v>
      </c>
      <c r="P76" s="235">
        <f t="shared" si="33"/>
        <v>0</v>
      </c>
      <c r="Q76" s="235">
        <f t="shared" si="34"/>
        <v>362.10150745940484</v>
      </c>
      <c r="R76" s="235">
        <f t="shared" si="35"/>
        <v>0</v>
      </c>
      <c r="S76" s="235">
        <f t="shared" si="36"/>
        <v>362.10150745940484</v>
      </c>
      <c r="T76" s="235">
        <f t="shared" si="37"/>
        <v>0</v>
      </c>
      <c r="U76" s="235">
        <f t="shared" si="38"/>
        <v>-362.10150745940484</v>
      </c>
      <c r="V76" s="235">
        <f t="shared" si="39"/>
        <v>0</v>
      </c>
      <c r="W76" s="235">
        <f t="shared" si="40"/>
        <v>-362.10150745940484</v>
      </c>
      <c r="Y76" s="235">
        <f t="shared" si="41"/>
        <v>343.33413650983937</v>
      </c>
      <c r="Z76" s="235">
        <f t="shared" si="42"/>
        <v>328.4391780010119</v>
      </c>
      <c r="AA76" s="235">
        <f t="shared" si="43"/>
        <v>-343.33413650983937</v>
      </c>
      <c r="AB76" s="235">
        <f t="shared" si="44"/>
        <v>328.4391780010119</v>
      </c>
      <c r="AC76" s="235">
        <f t="shared" si="45"/>
        <v>-343.33413650983937</v>
      </c>
      <c r="AD76" s="235">
        <f t="shared" si="46"/>
        <v>-328.4391780010119</v>
      </c>
      <c r="AE76" s="235">
        <f t="shared" si="47"/>
        <v>343.33413650983937</v>
      </c>
      <c r="AF76" s="235">
        <f t="shared" si="48"/>
        <v>-328.4391780010119</v>
      </c>
    </row>
    <row r="77" spans="6:32" x14ac:dyDescent="0.25">
      <c r="F77">
        <f t="shared" si="49"/>
        <v>73</v>
      </c>
      <c r="G77" s="235">
        <f t="shared" si="25"/>
        <v>348.10266618358713</v>
      </c>
      <c r="H77" s="235">
        <f t="shared" si="26"/>
        <v>291.172217123785</v>
      </c>
      <c r="I77" s="235">
        <f t="shared" si="27"/>
        <v>-348.10266618358713</v>
      </c>
      <c r="J77" s="235">
        <f t="shared" si="28"/>
        <v>291.172217123785</v>
      </c>
      <c r="K77" s="235">
        <f t="shared" si="29"/>
        <v>-348.10266618358713</v>
      </c>
      <c r="L77" s="235">
        <f t="shared" si="30"/>
        <v>-291.172217123785</v>
      </c>
      <c r="M77" s="235">
        <f t="shared" si="31"/>
        <v>348.10266618358713</v>
      </c>
      <c r="N77" s="235">
        <f t="shared" si="32"/>
        <v>-291.172217123785</v>
      </c>
      <c r="P77" s="235">
        <f t="shared" si="33"/>
        <v>0</v>
      </c>
      <c r="Q77" s="235">
        <f t="shared" si="34"/>
        <v>362.10150745940484</v>
      </c>
      <c r="R77" s="235">
        <f t="shared" si="35"/>
        <v>0</v>
      </c>
      <c r="S77" s="235">
        <f t="shared" si="36"/>
        <v>362.10150745940484</v>
      </c>
      <c r="T77" s="235">
        <f t="shared" si="37"/>
        <v>0</v>
      </c>
      <c r="U77" s="235">
        <f t="shared" si="38"/>
        <v>-362.10150745940484</v>
      </c>
      <c r="V77" s="235">
        <f t="shared" si="39"/>
        <v>0</v>
      </c>
      <c r="W77" s="235">
        <f t="shared" si="40"/>
        <v>-362.10150745940484</v>
      </c>
      <c r="Y77" s="235">
        <f t="shared" si="41"/>
        <v>348.10266618358713</v>
      </c>
      <c r="Z77" s="235">
        <f t="shared" si="42"/>
        <v>327.44787278711073</v>
      </c>
      <c r="AA77" s="235">
        <f t="shared" si="43"/>
        <v>-348.10266618358713</v>
      </c>
      <c r="AB77" s="235">
        <f t="shared" si="44"/>
        <v>327.44787278711073</v>
      </c>
      <c r="AC77" s="235">
        <f t="shared" si="45"/>
        <v>-348.10266618358713</v>
      </c>
      <c r="AD77" s="235">
        <f t="shared" si="46"/>
        <v>-327.44787278711073</v>
      </c>
      <c r="AE77" s="235">
        <f t="shared" si="47"/>
        <v>348.10266618358713</v>
      </c>
      <c r="AF77" s="235">
        <f t="shared" si="48"/>
        <v>-327.44787278711073</v>
      </c>
    </row>
    <row r="78" spans="6:32" x14ac:dyDescent="0.25">
      <c r="F78">
        <f t="shared" si="49"/>
        <v>74</v>
      </c>
      <c r="G78" s="235">
        <f t="shared" si="25"/>
        <v>352.8711958573349</v>
      </c>
      <c r="H78" s="235">
        <f t="shared" si="26"/>
        <v>289.62197990903479</v>
      </c>
      <c r="I78" s="235">
        <f t="shared" si="27"/>
        <v>-352.8711958573349</v>
      </c>
      <c r="J78" s="235">
        <f t="shared" si="28"/>
        <v>289.62197990903479</v>
      </c>
      <c r="K78" s="235">
        <f t="shared" si="29"/>
        <v>-352.8711958573349</v>
      </c>
      <c r="L78" s="235">
        <f t="shared" si="30"/>
        <v>-289.62197990903479</v>
      </c>
      <c r="M78" s="235">
        <f t="shared" si="31"/>
        <v>352.8711958573349</v>
      </c>
      <c r="N78" s="235">
        <f t="shared" si="32"/>
        <v>-289.62197990903479</v>
      </c>
      <c r="P78" s="235">
        <f t="shared" si="33"/>
        <v>0</v>
      </c>
      <c r="Q78" s="235">
        <f t="shared" si="34"/>
        <v>362.10150745940484</v>
      </c>
      <c r="R78" s="235">
        <f t="shared" si="35"/>
        <v>0</v>
      </c>
      <c r="S78" s="235">
        <f t="shared" si="36"/>
        <v>362.10150745940484</v>
      </c>
      <c r="T78" s="235">
        <f t="shared" si="37"/>
        <v>0</v>
      </c>
      <c r="U78" s="235">
        <f t="shared" si="38"/>
        <v>-362.10150745940484</v>
      </c>
      <c r="V78" s="235">
        <f t="shared" si="39"/>
        <v>0</v>
      </c>
      <c r="W78" s="235">
        <f t="shared" si="40"/>
        <v>-362.10150745940484</v>
      </c>
      <c r="Y78" s="235">
        <f t="shared" si="41"/>
        <v>352.8711958573349</v>
      </c>
      <c r="Z78" s="235">
        <f t="shared" si="42"/>
        <v>326.43982153065036</v>
      </c>
      <c r="AA78" s="235">
        <f t="shared" si="43"/>
        <v>-352.8711958573349</v>
      </c>
      <c r="AB78" s="235">
        <f t="shared" si="44"/>
        <v>326.43982153065036</v>
      </c>
      <c r="AC78" s="235">
        <f t="shared" si="45"/>
        <v>-352.8711958573349</v>
      </c>
      <c r="AD78" s="235">
        <f t="shared" si="46"/>
        <v>-326.43982153065036</v>
      </c>
      <c r="AE78" s="235">
        <f t="shared" si="47"/>
        <v>352.8711958573349</v>
      </c>
      <c r="AF78" s="235">
        <f t="shared" si="48"/>
        <v>-326.43982153065036</v>
      </c>
    </row>
    <row r="79" spans="6:32" x14ac:dyDescent="0.25">
      <c r="F79">
        <f t="shared" si="49"/>
        <v>75</v>
      </c>
      <c r="G79" s="235">
        <f t="shared" si="25"/>
        <v>357.63972553108266</v>
      </c>
      <c r="H79" s="235">
        <f t="shared" si="26"/>
        <v>288.05702981758799</v>
      </c>
      <c r="I79" s="235">
        <f t="shared" si="27"/>
        <v>-357.63972553108266</v>
      </c>
      <c r="J79" s="235">
        <f t="shared" si="28"/>
        <v>288.05702981758799</v>
      </c>
      <c r="K79" s="235">
        <f t="shared" si="29"/>
        <v>-357.63972553108266</v>
      </c>
      <c r="L79" s="235">
        <f t="shared" si="30"/>
        <v>-288.05702981758799</v>
      </c>
      <c r="M79" s="235">
        <f t="shared" si="31"/>
        <v>357.63972553108266</v>
      </c>
      <c r="N79" s="235">
        <f t="shared" si="32"/>
        <v>-288.05702981758799</v>
      </c>
      <c r="P79" s="235">
        <f t="shared" si="33"/>
        <v>0</v>
      </c>
      <c r="Q79" s="235">
        <f t="shared" si="34"/>
        <v>362.10150745940484</v>
      </c>
      <c r="R79" s="235">
        <f t="shared" si="35"/>
        <v>0</v>
      </c>
      <c r="S79" s="235">
        <f t="shared" si="36"/>
        <v>362.10150745940484</v>
      </c>
      <c r="T79" s="235">
        <f t="shared" si="37"/>
        <v>0</v>
      </c>
      <c r="U79" s="235">
        <f t="shared" si="38"/>
        <v>-362.10150745940484</v>
      </c>
      <c r="V79" s="235">
        <f t="shared" si="39"/>
        <v>0</v>
      </c>
      <c r="W79" s="235">
        <f t="shared" si="40"/>
        <v>-362.10150745940484</v>
      </c>
      <c r="Y79" s="235">
        <f t="shared" si="41"/>
        <v>357.63972553108266</v>
      </c>
      <c r="Z79" s="235">
        <f t="shared" si="42"/>
        <v>325.41486860691742</v>
      </c>
      <c r="AA79" s="235">
        <f t="shared" si="43"/>
        <v>-357.63972553108266</v>
      </c>
      <c r="AB79" s="235">
        <f t="shared" si="44"/>
        <v>325.41486860691742</v>
      </c>
      <c r="AC79" s="235">
        <f t="shared" si="45"/>
        <v>-357.63972553108266</v>
      </c>
      <c r="AD79" s="235">
        <f t="shared" si="46"/>
        <v>-325.41486860691742</v>
      </c>
      <c r="AE79" s="235">
        <f t="shared" si="47"/>
        <v>357.63972553108266</v>
      </c>
      <c r="AF79" s="235">
        <f t="shared" si="48"/>
        <v>-325.41486860691742</v>
      </c>
    </row>
    <row r="80" spans="6:32" x14ac:dyDescent="0.25">
      <c r="F80">
        <f t="shared" si="49"/>
        <v>76</v>
      </c>
      <c r="G80" s="235">
        <f t="shared" si="25"/>
        <v>362.40825520483043</v>
      </c>
      <c r="H80" s="235">
        <f t="shared" si="26"/>
        <v>286.47730603590588</v>
      </c>
      <c r="I80" s="235">
        <f t="shared" si="27"/>
        <v>-362.40825520483043</v>
      </c>
      <c r="J80" s="235">
        <f t="shared" si="28"/>
        <v>286.47730603590588</v>
      </c>
      <c r="K80" s="235">
        <f t="shared" si="29"/>
        <v>-362.40825520483043</v>
      </c>
      <c r="L80" s="235">
        <f t="shared" si="30"/>
        <v>-286.47730603590588</v>
      </c>
      <c r="M80" s="235">
        <f t="shared" si="31"/>
        <v>362.40825520483043</v>
      </c>
      <c r="N80" s="235">
        <f t="shared" si="32"/>
        <v>-286.47730603590588</v>
      </c>
      <c r="P80" s="235">
        <f t="shared" si="33"/>
        <v>0</v>
      </c>
      <c r="Q80" s="235">
        <f t="shared" si="34"/>
        <v>362.10150745940484</v>
      </c>
      <c r="R80" s="235">
        <f t="shared" si="35"/>
        <v>0</v>
      </c>
      <c r="S80" s="235">
        <f t="shared" si="36"/>
        <v>362.10150745940484</v>
      </c>
      <c r="T80" s="235">
        <f t="shared" si="37"/>
        <v>0</v>
      </c>
      <c r="U80" s="235">
        <f t="shared" si="38"/>
        <v>-362.10150745940484</v>
      </c>
      <c r="V80" s="235">
        <f t="shared" si="39"/>
        <v>0</v>
      </c>
      <c r="W80" s="235">
        <f t="shared" si="40"/>
        <v>-362.10150745940484</v>
      </c>
      <c r="Y80" s="235">
        <f t="shared" si="41"/>
        <v>362.40825520483043</v>
      </c>
      <c r="Z80" s="235">
        <f t="shared" si="42"/>
        <v>324.37285379835242</v>
      </c>
      <c r="AA80" s="235">
        <f t="shared" si="43"/>
        <v>-362.40825520483043</v>
      </c>
      <c r="AB80" s="235">
        <f t="shared" si="44"/>
        <v>324.37285379835242</v>
      </c>
      <c r="AC80" s="235">
        <f t="shared" si="45"/>
        <v>-362.40825520483043</v>
      </c>
      <c r="AD80" s="235">
        <f t="shared" si="46"/>
        <v>-324.37285379835242</v>
      </c>
      <c r="AE80" s="235">
        <f t="shared" si="47"/>
        <v>362.40825520483043</v>
      </c>
      <c r="AF80" s="235">
        <f t="shared" si="48"/>
        <v>-324.37285379835242</v>
      </c>
    </row>
    <row r="81" spans="6:32" x14ac:dyDescent="0.25">
      <c r="F81">
        <f t="shared" si="49"/>
        <v>77</v>
      </c>
      <c r="G81" s="235">
        <f t="shared" si="25"/>
        <v>367.17678487857819</v>
      </c>
      <c r="H81" s="235">
        <f t="shared" si="26"/>
        <v>284.88274377372107</v>
      </c>
      <c r="I81" s="235">
        <f t="shared" si="27"/>
        <v>-367.17678487857819</v>
      </c>
      <c r="J81" s="235">
        <f t="shared" si="28"/>
        <v>284.88274377372107</v>
      </c>
      <c r="K81" s="235">
        <f t="shared" si="29"/>
        <v>-367.17678487857819</v>
      </c>
      <c r="L81" s="235">
        <f t="shared" si="30"/>
        <v>-284.88274377372107</v>
      </c>
      <c r="M81" s="235">
        <f t="shared" si="31"/>
        <v>367.17678487857819</v>
      </c>
      <c r="N81" s="235">
        <f t="shared" si="32"/>
        <v>-284.88274377372107</v>
      </c>
      <c r="P81" s="235">
        <f t="shared" si="33"/>
        <v>0</v>
      </c>
      <c r="Q81" s="235">
        <f t="shared" si="34"/>
        <v>362.10150745940484</v>
      </c>
      <c r="R81" s="235">
        <f t="shared" si="35"/>
        <v>0</v>
      </c>
      <c r="S81" s="235">
        <f t="shared" si="36"/>
        <v>362.10150745940484</v>
      </c>
      <c r="T81" s="235">
        <f t="shared" si="37"/>
        <v>0</v>
      </c>
      <c r="U81" s="235">
        <f t="shared" si="38"/>
        <v>-362.10150745940484</v>
      </c>
      <c r="V81" s="235">
        <f t="shared" si="39"/>
        <v>0</v>
      </c>
      <c r="W81" s="235">
        <f t="shared" si="40"/>
        <v>-362.10150745940484</v>
      </c>
      <c r="Y81" s="235">
        <f t="shared" si="41"/>
        <v>367.17678487857819</v>
      </c>
      <c r="Z81" s="235">
        <f t="shared" si="42"/>
        <v>323.3136121375851</v>
      </c>
      <c r="AA81" s="235">
        <f t="shared" si="43"/>
        <v>-367.17678487857819</v>
      </c>
      <c r="AB81" s="235">
        <f t="shared" si="44"/>
        <v>323.3136121375851</v>
      </c>
      <c r="AC81" s="235">
        <f t="shared" si="45"/>
        <v>-367.17678487857819</v>
      </c>
      <c r="AD81" s="235">
        <f t="shared" si="46"/>
        <v>-323.3136121375851</v>
      </c>
      <c r="AE81" s="235">
        <f t="shared" si="47"/>
        <v>367.17678487857819</v>
      </c>
      <c r="AF81" s="235">
        <f t="shared" si="48"/>
        <v>-323.3136121375851</v>
      </c>
    </row>
    <row r="82" spans="6:32" x14ac:dyDescent="0.25">
      <c r="F82">
        <f t="shared" si="49"/>
        <v>78</v>
      </c>
      <c r="G82" s="235">
        <f t="shared" si="25"/>
        <v>371.94531455232595</v>
      </c>
      <c r="H82" s="235">
        <f t="shared" si="26"/>
        <v>283.27327420663454</v>
      </c>
      <c r="I82" s="235">
        <f t="shared" si="27"/>
        <v>-371.94531455232595</v>
      </c>
      <c r="J82" s="235">
        <f t="shared" si="28"/>
        <v>283.27327420663454</v>
      </c>
      <c r="K82" s="235">
        <f t="shared" si="29"/>
        <v>-371.94531455232595</v>
      </c>
      <c r="L82" s="235">
        <f t="shared" si="30"/>
        <v>-283.27327420663454</v>
      </c>
      <c r="M82" s="235">
        <f t="shared" si="31"/>
        <v>371.94531455232595</v>
      </c>
      <c r="N82" s="235">
        <f t="shared" si="32"/>
        <v>-283.27327420663454</v>
      </c>
      <c r="P82" s="235">
        <f t="shared" si="33"/>
        <v>0</v>
      </c>
      <c r="Q82" s="235">
        <f t="shared" si="34"/>
        <v>362.10150745940484</v>
      </c>
      <c r="R82" s="235">
        <f t="shared" si="35"/>
        <v>0</v>
      </c>
      <c r="S82" s="235">
        <f t="shared" si="36"/>
        <v>362.10150745940484</v>
      </c>
      <c r="T82" s="235">
        <f t="shared" si="37"/>
        <v>0</v>
      </c>
      <c r="U82" s="235">
        <f t="shared" si="38"/>
        <v>-362.10150745940484</v>
      </c>
      <c r="V82" s="235">
        <f t="shared" si="39"/>
        <v>0</v>
      </c>
      <c r="W82" s="235">
        <f t="shared" si="40"/>
        <v>-362.10150745940484</v>
      </c>
      <c r="Y82" s="235">
        <f t="shared" si="41"/>
        <v>371.94531455232595</v>
      </c>
      <c r="Z82" s="235">
        <f t="shared" si="42"/>
        <v>322.23697374285558</v>
      </c>
      <c r="AA82" s="235">
        <f t="shared" si="43"/>
        <v>-371.94531455232595</v>
      </c>
      <c r="AB82" s="235">
        <f t="shared" si="44"/>
        <v>322.23697374285558</v>
      </c>
      <c r="AC82" s="235">
        <f t="shared" si="45"/>
        <v>-371.94531455232595</v>
      </c>
      <c r="AD82" s="235">
        <f t="shared" si="46"/>
        <v>-322.23697374285558</v>
      </c>
      <c r="AE82" s="235">
        <f t="shared" si="47"/>
        <v>371.94531455232595</v>
      </c>
      <c r="AF82" s="235">
        <f t="shared" si="48"/>
        <v>-322.23697374285558</v>
      </c>
    </row>
    <row r="83" spans="6:32" x14ac:dyDescent="0.25">
      <c r="F83">
        <f t="shared" si="49"/>
        <v>79</v>
      </c>
      <c r="G83" s="235">
        <f t="shared" si="25"/>
        <v>376.71384422607377</v>
      </c>
      <c r="H83" s="235">
        <f t="shared" si="26"/>
        <v>281.64882441239502</v>
      </c>
      <c r="I83" s="235">
        <f t="shared" si="27"/>
        <v>-376.71384422607377</v>
      </c>
      <c r="J83" s="235">
        <f t="shared" si="28"/>
        <v>281.64882441239502</v>
      </c>
      <c r="K83" s="235">
        <f t="shared" si="29"/>
        <v>-376.71384422607377</v>
      </c>
      <c r="L83" s="235">
        <f t="shared" si="30"/>
        <v>-281.64882441239502</v>
      </c>
      <c r="M83" s="235">
        <f t="shared" si="31"/>
        <v>376.71384422607377</v>
      </c>
      <c r="N83" s="235">
        <f t="shared" si="32"/>
        <v>-281.64882441239502</v>
      </c>
      <c r="P83" s="235">
        <f t="shared" si="33"/>
        <v>0</v>
      </c>
      <c r="Q83" s="235">
        <f t="shared" si="34"/>
        <v>362.10150745940484</v>
      </c>
      <c r="R83" s="235">
        <f t="shared" si="35"/>
        <v>0</v>
      </c>
      <c r="S83" s="235">
        <f t="shared" si="36"/>
        <v>362.10150745940484</v>
      </c>
      <c r="T83" s="235">
        <f t="shared" si="37"/>
        <v>0</v>
      </c>
      <c r="U83" s="235">
        <f t="shared" si="38"/>
        <v>-362.10150745940484</v>
      </c>
      <c r="V83" s="235">
        <f t="shared" si="39"/>
        <v>0</v>
      </c>
      <c r="W83" s="235">
        <f t="shared" si="40"/>
        <v>-362.10150745940484</v>
      </c>
      <c r="Y83" s="235">
        <f t="shared" si="41"/>
        <v>376.71384422607377</v>
      </c>
      <c r="Z83" s="235">
        <f t="shared" si="42"/>
        <v>321.14276364537665</v>
      </c>
      <c r="AA83" s="235">
        <f t="shared" si="43"/>
        <v>-376.71384422607377</v>
      </c>
      <c r="AB83" s="235">
        <f t="shared" si="44"/>
        <v>321.14276364537665</v>
      </c>
      <c r="AC83" s="235">
        <f t="shared" si="45"/>
        <v>-376.71384422607377</v>
      </c>
      <c r="AD83" s="235">
        <f t="shared" si="46"/>
        <v>-321.14276364537665</v>
      </c>
      <c r="AE83" s="235">
        <f t="shared" si="47"/>
        <v>376.71384422607377</v>
      </c>
      <c r="AF83" s="235">
        <f t="shared" si="48"/>
        <v>-321.14276364537665</v>
      </c>
    </row>
    <row r="84" spans="6:32" x14ac:dyDescent="0.25">
      <c r="F84">
        <f t="shared" si="49"/>
        <v>80</v>
      </c>
      <c r="G84" s="235">
        <f t="shared" si="25"/>
        <v>381.48237389982154</v>
      </c>
      <c r="H84" s="235">
        <f t="shared" si="26"/>
        <v>280.00931730070391</v>
      </c>
      <c r="I84" s="235">
        <f t="shared" si="27"/>
        <v>-381.48237389982154</v>
      </c>
      <c r="J84" s="235">
        <f t="shared" si="28"/>
        <v>280.00931730070391</v>
      </c>
      <c r="K84" s="235">
        <f t="shared" si="29"/>
        <v>-381.48237389982154</v>
      </c>
      <c r="L84" s="235">
        <f t="shared" si="30"/>
        <v>-280.00931730070391</v>
      </c>
      <c r="M84" s="235">
        <f t="shared" si="31"/>
        <v>381.48237389982154</v>
      </c>
      <c r="N84" s="235">
        <f t="shared" si="32"/>
        <v>-280.00931730070391</v>
      </c>
      <c r="P84" s="235">
        <f t="shared" si="33"/>
        <v>0</v>
      </c>
      <c r="Q84" s="235">
        <f t="shared" si="34"/>
        <v>362.10150745940484</v>
      </c>
      <c r="R84" s="235">
        <f t="shared" si="35"/>
        <v>0</v>
      </c>
      <c r="S84" s="235">
        <f t="shared" si="36"/>
        <v>362.10150745940484</v>
      </c>
      <c r="T84" s="235">
        <f t="shared" si="37"/>
        <v>0</v>
      </c>
      <c r="U84" s="235">
        <f t="shared" si="38"/>
        <v>-362.10150745940484</v>
      </c>
      <c r="V84" s="235">
        <f t="shared" si="39"/>
        <v>0</v>
      </c>
      <c r="W84" s="235">
        <f t="shared" si="40"/>
        <v>-362.10150745940484</v>
      </c>
      <c r="Y84" s="235">
        <f t="shared" si="41"/>
        <v>381.48237389982154</v>
      </c>
      <c r="Z84" s="235">
        <f t="shared" si="42"/>
        <v>320.0308016081612</v>
      </c>
      <c r="AA84" s="235">
        <f t="shared" si="43"/>
        <v>-381.48237389982154</v>
      </c>
      <c r="AB84" s="235">
        <f t="shared" si="44"/>
        <v>320.0308016081612</v>
      </c>
      <c r="AC84" s="235">
        <f t="shared" si="45"/>
        <v>-381.48237389982154</v>
      </c>
      <c r="AD84" s="235">
        <f t="shared" si="46"/>
        <v>-320.0308016081612</v>
      </c>
      <c r="AE84" s="235">
        <f t="shared" si="47"/>
        <v>381.48237389982154</v>
      </c>
      <c r="AF84" s="235">
        <f t="shared" si="48"/>
        <v>-320.0308016081612</v>
      </c>
    </row>
    <row r="85" spans="6:32" x14ac:dyDescent="0.25">
      <c r="F85">
        <f t="shared" si="49"/>
        <v>81</v>
      </c>
      <c r="G85" s="235">
        <f t="shared" si="25"/>
        <v>386.2509035735693</v>
      </c>
      <c r="H85" s="235">
        <f t="shared" si="26"/>
        <v>278.35467153636415</v>
      </c>
      <c r="I85" s="235">
        <f t="shared" si="27"/>
        <v>-386.2509035735693</v>
      </c>
      <c r="J85" s="235">
        <f t="shared" si="28"/>
        <v>278.35467153636415</v>
      </c>
      <c r="K85" s="235">
        <f t="shared" si="29"/>
        <v>-386.2509035735693</v>
      </c>
      <c r="L85" s="235">
        <f t="shared" si="30"/>
        <v>-278.35467153636415</v>
      </c>
      <c r="M85" s="235">
        <f t="shared" si="31"/>
        <v>386.2509035735693</v>
      </c>
      <c r="N85" s="235">
        <f t="shared" si="32"/>
        <v>-278.35467153636415</v>
      </c>
      <c r="P85" s="235">
        <f t="shared" si="33"/>
        <v>0</v>
      </c>
      <c r="Q85" s="235">
        <f t="shared" si="34"/>
        <v>362.10150745940484</v>
      </c>
      <c r="R85" s="235">
        <f t="shared" si="35"/>
        <v>0</v>
      </c>
      <c r="S85" s="235">
        <f t="shared" si="36"/>
        <v>362.10150745940484</v>
      </c>
      <c r="T85" s="235">
        <f t="shared" si="37"/>
        <v>0</v>
      </c>
      <c r="U85" s="235">
        <f t="shared" si="38"/>
        <v>-362.10150745940484</v>
      </c>
      <c r="V85" s="235">
        <f t="shared" si="39"/>
        <v>0</v>
      </c>
      <c r="W85" s="235">
        <f t="shared" si="40"/>
        <v>-362.10150745940484</v>
      </c>
      <c r="Y85" s="235">
        <f t="shared" si="41"/>
        <v>386.2509035735693</v>
      </c>
      <c r="Z85" s="235">
        <f t="shared" si="42"/>
        <v>318.90090193580465</v>
      </c>
      <c r="AA85" s="235">
        <f t="shared" si="43"/>
        <v>-386.2509035735693</v>
      </c>
      <c r="AB85" s="235">
        <f t="shared" si="44"/>
        <v>318.90090193580465</v>
      </c>
      <c r="AC85" s="235">
        <f t="shared" si="45"/>
        <v>-386.2509035735693</v>
      </c>
      <c r="AD85" s="235">
        <f t="shared" si="46"/>
        <v>-318.90090193580465</v>
      </c>
      <c r="AE85" s="235">
        <f t="shared" si="47"/>
        <v>386.2509035735693</v>
      </c>
      <c r="AF85" s="235">
        <f t="shared" si="48"/>
        <v>-318.90090193580465</v>
      </c>
    </row>
    <row r="86" spans="6:32" x14ac:dyDescent="0.25">
      <c r="F86">
        <f t="shared" si="49"/>
        <v>82</v>
      </c>
      <c r="G86" s="235">
        <f t="shared" si="25"/>
        <v>391.01943324731707</v>
      </c>
      <c r="H86" s="235">
        <f t="shared" si="26"/>
        <v>276.68480145556663</v>
      </c>
      <c r="I86" s="235">
        <f t="shared" si="27"/>
        <v>-391.01943324731707</v>
      </c>
      <c r="J86" s="235">
        <f t="shared" si="28"/>
        <v>276.68480145556663</v>
      </c>
      <c r="K86" s="235">
        <f t="shared" si="29"/>
        <v>-391.01943324731707</v>
      </c>
      <c r="L86" s="235">
        <f t="shared" si="30"/>
        <v>-276.68480145556663</v>
      </c>
      <c r="M86" s="235">
        <f t="shared" si="31"/>
        <v>391.01943324731707</v>
      </c>
      <c r="N86" s="235">
        <f t="shared" si="32"/>
        <v>-276.68480145556663</v>
      </c>
      <c r="P86" s="235">
        <f t="shared" si="33"/>
        <v>0</v>
      </c>
      <c r="Q86" s="235">
        <f t="shared" si="34"/>
        <v>362.10150745940484</v>
      </c>
      <c r="R86" s="235">
        <f t="shared" si="35"/>
        <v>0</v>
      </c>
      <c r="S86" s="235">
        <f t="shared" si="36"/>
        <v>362.10150745940484</v>
      </c>
      <c r="T86" s="235">
        <f t="shared" si="37"/>
        <v>0</v>
      </c>
      <c r="U86" s="235">
        <f t="shared" si="38"/>
        <v>-362.10150745940484</v>
      </c>
      <c r="V86" s="235">
        <f t="shared" si="39"/>
        <v>0</v>
      </c>
      <c r="W86" s="235">
        <f t="shared" si="40"/>
        <v>-362.10150745940484</v>
      </c>
      <c r="Y86" s="235">
        <f t="shared" si="41"/>
        <v>391.01943324731707</v>
      </c>
      <c r="Z86" s="235">
        <f t="shared" si="42"/>
        <v>317.75287327467657</v>
      </c>
      <c r="AA86" s="235">
        <f t="shared" si="43"/>
        <v>-391.01943324731707</v>
      </c>
      <c r="AB86" s="235">
        <f t="shared" si="44"/>
        <v>317.75287327467657</v>
      </c>
      <c r="AC86" s="235">
        <f t="shared" si="45"/>
        <v>-391.01943324731707</v>
      </c>
      <c r="AD86" s="235">
        <f t="shared" si="46"/>
        <v>-317.75287327467657</v>
      </c>
      <c r="AE86" s="235">
        <f t="shared" si="47"/>
        <v>391.01943324731707</v>
      </c>
      <c r="AF86" s="235">
        <f t="shared" si="48"/>
        <v>-317.75287327467657</v>
      </c>
    </row>
    <row r="87" spans="6:32" x14ac:dyDescent="0.25">
      <c r="F87">
        <f t="shared" si="49"/>
        <v>83</v>
      </c>
      <c r="G87" s="235">
        <f t="shared" si="25"/>
        <v>395.78796292106483</v>
      </c>
      <c r="H87" s="235">
        <f t="shared" si="26"/>
        <v>274.99961697507757</v>
      </c>
      <c r="I87" s="235">
        <f t="shared" si="27"/>
        <v>-395.78796292106483</v>
      </c>
      <c r="J87" s="235">
        <f t="shared" si="28"/>
        <v>274.99961697507757</v>
      </c>
      <c r="K87" s="235">
        <f t="shared" si="29"/>
        <v>-395.78796292106483</v>
      </c>
      <c r="L87" s="235">
        <f t="shared" si="30"/>
        <v>-274.99961697507757</v>
      </c>
      <c r="M87" s="235">
        <f t="shared" si="31"/>
        <v>395.78796292106483</v>
      </c>
      <c r="N87" s="235">
        <f t="shared" si="32"/>
        <v>-274.99961697507757</v>
      </c>
      <c r="P87" s="235">
        <f t="shared" si="33"/>
        <v>0</v>
      </c>
      <c r="Q87" s="235">
        <f t="shared" si="34"/>
        <v>362.10150745940484</v>
      </c>
      <c r="R87" s="235">
        <f t="shared" si="35"/>
        <v>0</v>
      </c>
      <c r="S87" s="235">
        <f t="shared" si="36"/>
        <v>362.10150745940484</v>
      </c>
      <c r="T87" s="235">
        <f t="shared" si="37"/>
        <v>0</v>
      </c>
      <c r="U87" s="235">
        <f t="shared" si="38"/>
        <v>-362.10150745940484</v>
      </c>
      <c r="V87" s="235">
        <f t="shared" si="39"/>
        <v>0</v>
      </c>
      <c r="W87" s="235">
        <f t="shared" si="40"/>
        <v>-362.10150745940484</v>
      </c>
      <c r="Y87" s="235">
        <f t="shared" si="41"/>
        <v>395.78796292106483</v>
      </c>
      <c r="Z87" s="235">
        <f t="shared" si="42"/>
        <v>316.58651840293379</v>
      </c>
      <c r="AA87" s="235">
        <f t="shared" si="43"/>
        <v>-395.78796292106483</v>
      </c>
      <c r="AB87" s="235">
        <f t="shared" si="44"/>
        <v>316.58651840293379</v>
      </c>
      <c r="AC87" s="235">
        <f t="shared" si="45"/>
        <v>-395.78796292106483</v>
      </c>
      <c r="AD87" s="235">
        <f t="shared" si="46"/>
        <v>-316.58651840293379</v>
      </c>
      <c r="AE87" s="235">
        <f t="shared" si="47"/>
        <v>395.78796292106483</v>
      </c>
      <c r="AF87" s="235">
        <f t="shared" si="48"/>
        <v>-316.58651840293379</v>
      </c>
    </row>
    <row r="88" spans="6:32" x14ac:dyDescent="0.25">
      <c r="F88">
        <f t="shared" si="49"/>
        <v>84</v>
      </c>
      <c r="G88" s="235">
        <f t="shared" si="25"/>
        <v>400.5564925948126</v>
      </c>
      <c r="H88" s="235">
        <f t="shared" si="26"/>
        <v>273.29902349406706</v>
      </c>
      <c r="I88" s="235">
        <f t="shared" si="27"/>
        <v>-400.5564925948126</v>
      </c>
      <c r="J88" s="235">
        <f t="shared" si="28"/>
        <v>273.29902349406706</v>
      </c>
      <c r="K88" s="235">
        <f t="shared" si="29"/>
        <v>-400.5564925948126</v>
      </c>
      <c r="L88" s="235">
        <f t="shared" si="30"/>
        <v>-273.29902349406706</v>
      </c>
      <c r="M88" s="235">
        <f t="shared" si="31"/>
        <v>400.5564925948126</v>
      </c>
      <c r="N88" s="235">
        <f t="shared" si="32"/>
        <v>-273.29902349406706</v>
      </c>
      <c r="P88" s="235">
        <f t="shared" si="33"/>
        <v>0</v>
      </c>
      <c r="Q88" s="235">
        <f t="shared" si="34"/>
        <v>362.10150745940484</v>
      </c>
      <c r="R88" s="235">
        <f t="shared" si="35"/>
        <v>0</v>
      </c>
      <c r="S88" s="235">
        <f t="shared" si="36"/>
        <v>362.10150745940484</v>
      </c>
      <c r="T88" s="235">
        <f t="shared" si="37"/>
        <v>0</v>
      </c>
      <c r="U88" s="235">
        <f t="shared" si="38"/>
        <v>-362.10150745940484</v>
      </c>
      <c r="V88" s="235">
        <f t="shared" si="39"/>
        <v>0</v>
      </c>
      <c r="W88" s="235">
        <f t="shared" si="40"/>
        <v>-362.10150745940484</v>
      </c>
      <c r="Y88" s="235">
        <f t="shared" si="41"/>
        <v>400.5564925948126</v>
      </c>
      <c r="Z88" s="235">
        <f t="shared" si="42"/>
        <v>315.40163400972591</v>
      </c>
      <c r="AA88" s="235">
        <f t="shared" si="43"/>
        <v>-400.5564925948126</v>
      </c>
      <c r="AB88" s="235">
        <f t="shared" si="44"/>
        <v>315.40163400972591</v>
      </c>
      <c r="AC88" s="235">
        <f t="shared" si="45"/>
        <v>-400.5564925948126</v>
      </c>
      <c r="AD88" s="235">
        <f t="shared" si="46"/>
        <v>-315.40163400972591</v>
      </c>
      <c r="AE88" s="235">
        <f t="shared" si="47"/>
        <v>400.5564925948126</v>
      </c>
      <c r="AF88" s="235">
        <f t="shared" si="48"/>
        <v>-315.40163400972591</v>
      </c>
    </row>
    <row r="89" spans="6:32" x14ac:dyDescent="0.25">
      <c r="F89">
        <f t="shared" si="49"/>
        <v>85</v>
      </c>
      <c r="G89" s="235">
        <f t="shared" si="25"/>
        <v>405.32502226856036</v>
      </c>
      <c r="H89" s="235">
        <f t="shared" si="26"/>
        <v>271.5829217882814</v>
      </c>
      <c r="I89" s="235">
        <f t="shared" si="27"/>
        <v>-405.32502226856036</v>
      </c>
      <c r="J89" s="235">
        <f t="shared" si="28"/>
        <v>271.5829217882814</v>
      </c>
      <c r="K89" s="235">
        <f t="shared" si="29"/>
        <v>-405.32502226856036</v>
      </c>
      <c r="L89" s="235">
        <f t="shared" si="30"/>
        <v>-271.5829217882814</v>
      </c>
      <c r="M89" s="235">
        <f t="shared" si="31"/>
        <v>405.32502226856036</v>
      </c>
      <c r="N89" s="235">
        <f t="shared" si="32"/>
        <v>-271.5829217882814</v>
      </c>
      <c r="P89" s="235">
        <f t="shared" si="33"/>
        <v>0</v>
      </c>
      <c r="Q89" s="235">
        <f t="shared" si="34"/>
        <v>362.10150745940484</v>
      </c>
      <c r="R89" s="235">
        <f t="shared" si="35"/>
        <v>0</v>
      </c>
      <c r="S89" s="235">
        <f t="shared" si="36"/>
        <v>362.10150745940484</v>
      </c>
      <c r="T89" s="235">
        <f t="shared" si="37"/>
        <v>0</v>
      </c>
      <c r="U89" s="235">
        <f t="shared" si="38"/>
        <v>-362.10150745940484</v>
      </c>
      <c r="V89" s="235">
        <f t="shared" si="39"/>
        <v>0</v>
      </c>
      <c r="W89" s="235">
        <f t="shared" si="40"/>
        <v>-362.10150745940484</v>
      </c>
      <c r="Y89" s="235">
        <f t="shared" si="41"/>
        <v>405.32502226856036</v>
      </c>
      <c r="Z89" s="235">
        <f t="shared" si="42"/>
        <v>314.19801046291582</v>
      </c>
      <c r="AA89" s="235">
        <f t="shared" si="43"/>
        <v>-405.32502226856036</v>
      </c>
      <c r="AB89" s="235">
        <f t="shared" si="44"/>
        <v>314.19801046291582</v>
      </c>
      <c r="AC89" s="235">
        <f t="shared" si="45"/>
        <v>-405.32502226856036</v>
      </c>
      <c r="AD89" s="235">
        <f t="shared" si="46"/>
        <v>-314.19801046291582</v>
      </c>
      <c r="AE89" s="235">
        <f t="shared" si="47"/>
        <v>405.32502226856036</v>
      </c>
      <c r="AF89" s="235">
        <f t="shared" si="48"/>
        <v>-314.19801046291582</v>
      </c>
    </row>
    <row r="90" spans="6:32" x14ac:dyDescent="0.25">
      <c r="F90">
        <f t="shared" si="49"/>
        <v>86</v>
      </c>
      <c r="G90" s="235">
        <f t="shared" si="25"/>
        <v>410.09355194230812</v>
      </c>
      <c r="H90" s="235">
        <f t="shared" si="26"/>
        <v>269.85120789623778</v>
      </c>
      <c r="I90" s="235">
        <f t="shared" si="27"/>
        <v>-410.09355194230812</v>
      </c>
      <c r="J90" s="235">
        <f t="shared" si="28"/>
        <v>269.85120789623778</v>
      </c>
      <c r="K90" s="235">
        <f t="shared" si="29"/>
        <v>-410.09355194230812</v>
      </c>
      <c r="L90" s="235">
        <f t="shared" si="30"/>
        <v>-269.85120789623778</v>
      </c>
      <c r="M90" s="235">
        <f t="shared" si="31"/>
        <v>410.09355194230812</v>
      </c>
      <c r="N90" s="235">
        <f t="shared" si="32"/>
        <v>-269.85120789623778</v>
      </c>
      <c r="P90" s="235">
        <f t="shared" si="33"/>
        <v>0</v>
      </c>
      <c r="Q90" s="235">
        <f t="shared" si="34"/>
        <v>362.10150745940484</v>
      </c>
      <c r="R90" s="235">
        <f t="shared" si="35"/>
        <v>0</v>
      </c>
      <c r="S90" s="235">
        <f t="shared" si="36"/>
        <v>362.10150745940484</v>
      </c>
      <c r="T90" s="235">
        <f t="shared" si="37"/>
        <v>0</v>
      </c>
      <c r="U90" s="235">
        <f t="shared" si="38"/>
        <v>-362.10150745940484</v>
      </c>
      <c r="V90" s="235">
        <f t="shared" si="39"/>
        <v>0</v>
      </c>
      <c r="W90" s="235">
        <f t="shared" si="40"/>
        <v>-362.10150745940484</v>
      </c>
      <c r="Y90" s="235">
        <f t="shared" si="41"/>
        <v>410.09355194230812</v>
      </c>
      <c r="Z90" s="235">
        <f t="shared" si="42"/>
        <v>312.97543156458704</v>
      </c>
      <c r="AA90" s="235">
        <f t="shared" si="43"/>
        <v>-410.09355194230812</v>
      </c>
      <c r="AB90" s="235">
        <f t="shared" si="44"/>
        <v>312.97543156458704</v>
      </c>
      <c r="AC90" s="235">
        <f t="shared" si="45"/>
        <v>-410.09355194230812</v>
      </c>
      <c r="AD90" s="235">
        <f t="shared" si="46"/>
        <v>-312.97543156458704</v>
      </c>
      <c r="AE90" s="235">
        <f t="shared" si="47"/>
        <v>410.09355194230812</v>
      </c>
      <c r="AF90" s="235">
        <f t="shared" si="48"/>
        <v>-312.97543156458704</v>
      </c>
    </row>
    <row r="91" spans="6:32" x14ac:dyDescent="0.25">
      <c r="F91">
        <f t="shared" si="49"/>
        <v>87</v>
      </c>
      <c r="G91" s="235">
        <f t="shared" si="25"/>
        <v>414.86208161605595</v>
      </c>
      <c r="H91" s="235">
        <f t="shared" si="26"/>
        <v>268.10377299708097</v>
      </c>
      <c r="I91" s="235">
        <f t="shared" si="27"/>
        <v>-414.86208161605595</v>
      </c>
      <c r="J91" s="235">
        <f t="shared" si="28"/>
        <v>268.10377299708097</v>
      </c>
      <c r="K91" s="235">
        <f t="shared" si="29"/>
        <v>-414.86208161605595</v>
      </c>
      <c r="L91" s="235">
        <f t="shared" si="30"/>
        <v>-268.10377299708097</v>
      </c>
      <c r="M91" s="235">
        <f t="shared" si="31"/>
        <v>414.86208161605595</v>
      </c>
      <c r="N91" s="235">
        <f t="shared" si="32"/>
        <v>-268.10377299708097</v>
      </c>
      <c r="P91" s="235">
        <f t="shared" si="33"/>
        <v>0</v>
      </c>
      <c r="Q91" s="235">
        <f t="shared" si="34"/>
        <v>362.10150745940484</v>
      </c>
      <c r="R91" s="235">
        <f t="shared" si="35"/>
        <v>0</v>
      </c>
      <c r="S91" s="235">
        <f t="shared" si="36"/>
        <v>362.10150745940484</v>
      </c>
      <c r="T91" s="235">
        <f t="shared" si="37"/>
        <v>0</v>
      </c>
      <c r="U91" s="235">
        <f t="shared" si="38"/>
        <v>-362.10150745940484</v>
      </c>
      <c r="V91" s="235">
        <f t="shared" si="39"/>
        <v>0</v>
      </c>
      <c r="W91" s="235">
        <f t="shared" si="40"/>
        <v>-362.10150745940484</v>
      </c>
      <c r="Y91" s="235">
        <f t="shared" si="41"/>
        <v>414.86208161605595</v>
      </c>
      <c r="Z91" s="235">
        <f t="shared" si="42"/>
        <v>311.73367429355454</v>
      </c>
      <c r="AA91" s="235">
        <f t="shared" si="43"/>
        <v>-414.86208161605595</v>
      </c>
      <c r="AB91" s="235">
        <f t="shared" si="44"/>
        <v>311.73367429355454</v>
      </c>
      <c r="AC91" s="235">
        <f t="shared" si="45"/>
        <v>-414.86208161605595</v>
      </c>
      <c r="AD91" s="235">
        <f t="shared" si="46"/>
        <v>-311.73367429355454</v>
      </c>
      <c r="AE91" s="235">
        <f t="shared" si="47"/>
        <v>414.86208161605595</v>
      </c>
      <c r="AF91" s="235">
        <f t="shared" si="48"/>
        <v>-311.73367429355454</v>
      </c>
    </row>
    <row r="92" spans="6:32" x14ac:dyDescent="0.25">
      <c r="F92">
        <f t="shared" si="49"/>
        <v>88</v>
      </c>
      <c r="G92" s="235">
        <f t="shared" si="25"/>
        <v>419.63061128980365</v>
      </c>
      <c r="H92" s="235">
        <f t="shared" si="26"/>
        <v>266.340503279708</v>
      </c>
      <c r="I92" s="235">
        <f t="shared" si="27"/>
        <v>-419.63061128980365</v>
      </c>
      <c r="J92" s="235">
        <f t="shared" si="28"/>
        <v>266.340503279708</v>
      </c>
      <c r="K92" s="235">
        <f t="shared" si="29"/>
        <v>-419.63061128980365</v>
      </c>
      <c r="L92" s="235">
        <f t="shared" si="30"/>
        <v>-266.340503279708</v>
      </c>
      <c r="M92" s="235">
        <f t="shared" si="31"/>
        <v>419.63061128980365</v>
      </c>
      <c r="N92" s="235">
        <f t="shared" si="32"/>
        <v>-266.340503279708</v>
      </c>
      <c r="P92" s="235">
        <f t="shared" si="33"/>
        <v>0</v>
      </c>
      <c r="Q92" s="235">
        <f t="shared" si="34"/>
        <v>362.10150745940484</v>
      </c>
      <c r="R92" s="235">
        <f t="shared" si="35"/>
        <v>0</v>
      </c>
      <c r="S92" s="235">
        <f t="shared" si="36"/>
        <v>362.10150745940484</v>
      </c>
      <c r="T92" s="235">
        <f t="shared" si="37"/>
        <v>0</v>
      </c>
      <c r="U92" s="235">
        <f t="shared" si="38"/>
        <v>-362.10150745940484</v>
      </c>
      <c r="V92" s="235">
        <f t="shared" si="39"/>
        <v>0</v>
      </c>
      <c r="W92" s="235">
        <f t="shared" si="40"/>
        <v>-362.10150745940484</v>
      </c>
      <c r="Y92" s="235">
        <f t="shared" si="41"/>
        <v>419.63061128980365</v>
      </c>
      <c r="Z92" s="235">
        <f t="shared" si="42"/>
        <v>310.47250853403409</v>
      </c>
      <c r="AA92" s="235">
        <f t="shared" si="43"/>
        <v>-419.63061128980365</v>
      </c>
      <c r="AB92" s="235">
        <f t="shared" si="44"/>
        <v>310.47250853403409</v>
      </c>
      <c r="AC92" s="235">
        <f t="shared" si="45"/>
        <v>-419.63061128980365</v>
      </c>
      <c r="AD92" s="235">
        <f t="shared" si="46"/>
        <v>-310.47250853403409</v>
      </c>
      <c r="AE92" s="235">
        <f t="shared" si="47"/>
        <v>419.63061128980365</v>
      </c>
      <c r="AF92" s="235">
        <f t="shared" si="48"/>
        <v>-310.47250853403409</v>
      </c>
    </row>
    <row r="93" spans="6:32" x14ac:dyDescent="0.25">
      <c r="F93">
        <f t="shared" si="49"/>
        <v>89</v>
      </c>
      <c r="G93" s="235">
        <f t="shared" si="25"/>
        <v>424.39914096355147</v>
      </c>
      <c r="H93" s="235">
        <f t="shared" si="26"/>
        <v>264.56127980272794</v>
      </c>
      <c r="I93" s="235">
        <f t="shared" si="27"/>
        <v>-424.39914096355147</v>
      </c>
      <c r="J93" s="235">
        <f t="shared" si="28"/>
        <v>264.56127980272794</v>
      </c>
      <c r="K93" s="235">
        <f t="shared" si="29"/>
        <v>-424.39914096355147</v>
      </c>
      <c r="L93" s="235">
        <f t="shared" si="30"/>
        <v>-264.56127980272794</v>
      </c>
      <c r="M93" s="235">
        <f t="shared" si="31"/>
        <v>424.39914096355147</v>
      </c>
      <c r="N93" s="235">
        <f t="shared" si="32"/>
        <v>-264.56127980272794</v>
      </c>
      <c r="P93" s="235">
        <f t="shared" si="33"/>
        <v>0</v>
      </c>
      <c r="Q93" s="235">
        <f t="shared" si="34"/>
        <v>362.10150745940484</v>
      </c>
      <c r="R93" s="235">
        <f t="shared" si="35"/>
        <v>0</v>
      </c>
      <c r="S93" s="235">
        <f t="shared" si="36"/>
        <v>362.10150745940484</v>
      </c>
      <c r="T93" s="235">
        <f t="shared" si="37"/>
        <v>0</v>
      </c>
      <c r="U93" s="235">
        <f t="shared" si="38"/>
        <v>-362.10150745940484</v>
      </c>
      <c r="V93" s="235">
        <f t="shared" si="39"/>
        <v>0</v>
      </c>
      <c r="W93" s="235">
        <f t="shared" si="40"/>
        <v>-362.10150745940484</v>
      </c>
      <c r="Y93" s="235">
        <f t="shared" si="41"/>
        <v>424.39914096355147</v>
      </c>
      <c r="Z93" s="235">
        <f t="shared" si="42"/>
        <v>309.19169678956013</v>
      </c>
      <c r="AA93" s="235">
        <f t="shared" si="43"/>
        <v>-424.39914096355147</v>
      </c>
      <c r="AB93" s="235">
        <f t="shared" si="44"/>
        <v>309.19169678956013</v>
      </c>
      <c r="AC93" s="235">
        <f t="shared" si="45"/>
        <v>-424.39914096355147</v>
      </c>
      <c r="AD93" s="235">
        <f t="shared" si="46"/>
        <v>-309.19169678956013</v>
      </c>
      <c r="AE93" s="235">
        <f t="shared" si="47"/>
        <v>424.39914096355147</v>
      </c>
      <c r="AF93" s="235">
        <f t="shared" si="48"/>
        <v>-309.19169678956013</v>
      </c>
    </row>
    <row r="94" spans="6:32" x14ac:dyDescent="0.25">
      <c r="F94">
        <f t="shared" si="49"/>
        <v>90</v>
      </c>
      <c r="G94" s="235">
        <f t="shared" si="25"/>
        <v>429.16767063729918</v>
      </c>
      <c r="H94" s="235">
        <f t="shared" si="26"/>
        <v>262.76597834478252</v>
      </c>
      <c r="I94" s="235">
        <f t="shared" si="27"/>
        <v>-429.16767063729918</v>
      </c>
      <c r="J94" s="235">
        <f t="shared" si="28"/>
        <v>262.76597834478252</v>
      </c>
      <c r="K94" s="235">
        <f t="shared" si="29"/>
        <v>-429.16767063729918</v>
      </c>
      <c r="L94" s="235">
        <f t="shared" si="30"/>
        <v>-262.76597834478252</v>
      </c>
      <c r="M94" s="235">
        <f t="shared" si="31"/>
        <v>429.16767063729918</v>
      </c>
      <c r="N94" s="235">
        <f t="shared" si="32"/>
        <v>-262.76597834478252</v>
      </c>
      <c r="P94" s="235">
        <f t="shared" si="33"/>
        <v>0</v>
      </c>
      <c r="Q94" s="235">
        <f t="shared" si="34"/>
        <v>362.10150745940484</v>
      </c>
      <c r="R94" s="235">
        <f t="shared" si="35"/>
        <v>0</v>
      </c>
      <c r="S94" s="235">
        <f t="shared" si="36"/>
        <v>362.10150745940484</v>
      </c>
      <c r="T94" s="235">
        <f t="shared" si="37"/>
        <v>0</v>
      </c>
      <c r="U94" s="235">
        <f t="shared" si="38"/>
        <v>-362.10150745940484</v>
      </c>
      <c r="V94" s="235">
        <f t="shared" si="39"/>
        <v>0</v>
      </c>
      <c r="W94" s="235">
        <f t="shared" si="40"/>
        <v>-362.10150745940484</v>
      </c>
      <c r="Y94" s="235">
        <f t="shared" si="41"/>
        <v>429.16767063729918</v>
      </c>
      <c r="Z94" s="235">
        <f t="shared" si="42"/>
        <v>307.89099388116932</v>
      </c>
      <c r="AA94" s="235">
        <f t="shared" si="43"/>
        <v>-429.16767063729918</v>
      </c>
      <c r="AB94" s="235">
        <f t="shared" si="44"/>
        <v>307.89099388116932</v>
      </c>
      <c r="AC94" s="235">
        <f t="shared" si="45"/>
        <v>-429.16767063729918</v>
      </c>
      <c r="AD94" s="235">
        <f t="shared" si="46"/>
        <v>-307.89099388116932</v>
      </c>
      <c r="AE94" s="235">
        <f t="shared" si="47"/>
        <v>429.16767063729918</v>
      </c>
      <c r="AF94" s="235">
        <f t="shared" si="48"/>
        <v>-307.89099388116932</v>
      </c>
    </row>
    <row r="95" spans="6:32" x14ac:dyDescent="0.25">
      <c r="F95">
        <f t="shared" si="49"/>
        <v>91</v>
      </c>
      <c r="G95" s="235">
        <f t="shared" si="25"/>
        <v>433.936200311047</v>
      </c>
      <c r="H95" s="235">
        <f t="shared" si="26"/>
        <v>260.95446924470934</v>
      </c>
      <c r="I95" s="235">
        <f t="shared" si="27"/>
        <v>-433.936200311047</v>
      </c>
      <c r="J95" s="235">
        <f t="shared" si="28"/>
        <v>260.95446924470934</v>
      </c>
      <c r="K95" s="235">
        <f t="shared" si="29"/>
        <v>-433.936200311047</v>
      </c>
      <c r="L95" s="235">
        <f t="shared" si="30"/>
        <v>-260.95446924470934</v>
      </c>
      <c r="M95" s="235">
        <f t="shared" si="31"/>
        <v>433.936200311047</v>
      </c>
      <c r="N95" s="235">
        <f t="shared" si="32"/>
        <v>-260.95446924470934</v>
      </c>
      <c r="P95" s="235">
        <f t="shared" si="33"/>
        <v>0</v>
      </c>
      <c r="Q95" s="235">
        <f t="shared" si="34"/>
        <v>362.10150745940484</v>
      </c>
      <c r="R95" s="235">
        <f t="shared" si="35"/>
        <v>0</v>
      </c>
      <c r="S95" s="235">
        <f t="shared" si="36"/>
        <v>362.10150745940484</v>
      </c>
      <c r="T95" s="235">
        <f t="shared" si="37"/>
        <v>0</v>
      </c>
      <c r="U95" s="235">
        <f t="shared" si="38"/>
        <v>-362.10150745940484</v>
      </c>
      <c r="V95" s="235">
        <f t="shared" si="39"/>
        <v>0</v>
      </c>
      <c r="W95" s="235">
        <f t="shared" si="40"/>
        <v>-362.10150745940484</v>
      </c>
      <c r="Y95" s="235">
        <f t="shared" si="41"/>
        <v>433.936200311047</v>
      </c>
      <c r="Z95" s="235">
        <f t="shared" si="42"/>
        <v>306.57014662878817</v>
      </c>
      <c r="AA95" s="235">
        <f t="shared" si="43"/>
        <v>-433.936200311047</v>
      </c>
      <c r="AB95" s="235">
        <f t="shared" si="44"/>
        <v>306.57014662878817</v>
      </c>
      <c r="AC95" s="235">
        <f t="shared" si="45"/>
        <v>-433.936200311047</v>
      </c>
      <c r="AD95" s="235">
        <f t="shared" si="46"/>
        <v>-306.57014662878817</v>
      </c>
      <c r="AE95" s="235">
        <f t="shared" si="47"/>
        <v>433.936200311047</v>
      </c>
      <c r="AF95" s="235">
        <f t="shared" si="48"/>
        <v>-306.57014662878817</v>
      </c>
    </row>
    <row r="96" spans="6:32" x14ac:dyDescent="0.25">
      <c r="F96">
        <f t="shared" si="49"/>
        <v>92</v>
      </c>
      <c r="G96" s="235">
        <f t="shared" si="25"/>
        <v>438.70472998479477</v>
      </c>
      <c r="H96" s="235">
        <f t="shared" si="26"/>
        <v>259.12661723098097</v>
      </c>
      <c r="I96" s="235">
        <f t="shared" si="27"/>
        <v>-438.70472998479477</v>
      </c>
      <c r="J96" s="235">
        <f t="shared" si="28"/>
        <v>259.12661723098097</v>
      </c>
      <c r="K96" s="235">
        <f t="shared" si="29"/>
        <v>-438.70472998479477</v>
      </c>
      <c r="L96" s="235">
        <f t="shared" si="30"/>
        <v>-259.12661723098097</v>
      </c>
      <c r="M96" s="235">
        <f t="shared" si="31"/>
        <v>438.70472998479477</v>
      </c>
      <c r="N96" s="235">
        <f t="shared" si="32"/>
        <v>-259.12661723098097</v>
      </c>
      <c r="P96" s="235">
        <f t="shared" si="33"/>
        <v>0</v>
      </c>
      <c r="Q96" s="235">
        <f t="shared" si="34"/>
        <v>362.10150745940484</v>
      </c>
      <c r="R96" s="235">
        <f t="shared" si="35"/>
        <v>0</v>
      </c>
      <c r="S96" s="235">
        <f t="shared" si="36"/>
        <v>362.10150745940484</v>
      </c>
      <c r="T96" s="235">
        <f t="shared" si="37"/>
        <v>0</v>
      </c>
      <c r="U96" s="235">
        <f t="shared" si="38"/>
        <v>-362.10150745940484</v>
      </c>
      <c r="V96" s="235">
        <f t="shared" si="39"/>
        <v>0</v>
      </c>
      <c r="W96" s="235">
        <f t="shared" si="40"/>
        <v>-362.10150745940484</v>
      </c>
      <c r="Y96" s="235">
        <f t="shared" si="41"/>
        <v>438.70472998479477</v>
      </c>
      <c r="Z96" s="235">
        <f t="shared" si="42"/>
        <v>305.22889351467796</v>
      </c>
      <c r="AA96" s="235">
        <f t="shared" si="43"/>
        <v>-438.70472998479477</v>
      </c>
      <c r="AB96" s="235">
        <f t="shared" si="44"/>
        <v>305.22889351467796</v>
      </c>
      <c r="AC96" s="235">
        <f t="shared" si="45"/>
        <v>-438.70472998479477</v>
      </c>
      <c r="AD96" s="235">
        <f t="shared" si="46"/>
        <v>-305.22889351467796</v>
      </c>
      <c r="AE96" s="235">
        <f t="shared" si="47"/>
        <v>438.70472998479477</v>
      </c>
      <c r="AF96" s="235">
        <f t="shared" si="48"/>
        <v>-305.22889351467796</v>
      </c>
    </row>
    <row r="97" spans="6:32" x14ac:dyDescent="0.25">
      <c r="F97">
        <f t="shared" si="49"/>
        <v>93</v>
      </c>
      <c r="G97" s="235">
        <f t="shared" si="25"/>
        <v>443.47325965854259</v>
      </c>
      <c r="H97" s="235">
        <f t="shared" si="26"/>
        <v>257.28228123980131</v>
      </c>
      <c r="I97" s="235">
        <f t="shared" si="27"/>
        <v>-443.47325965854259</v>
      </c>
      <c r="J97" s="235">
        <f t="shared" si="28"/>
        <v>257.28228123980131</v>
      </c>
      <c r="K97" s="235">
        <f t="shared" si="29"/>
        <v>-443.47325965854259</v>
      </c>
      <c r="L97" s="235">
        <f t="shared" si="30"/>
        <v>-257.28228123980131</v>
      </c>
      <c r="M97" s="235">
        <f t="shared" si="31"/>
        <v>443.47325965854259</v>
      </c>
      <c r="N97" s="235">
        <f t="shared" si="32"/>
        <v>-257.28228123980131</v>
      </c>
      <c r="P97" s="235">
        <f t="shared" si="33"/>
        <v>0</v>
      </c>
      <c r="Q97" s="235">
        <f t="shared" si="34"/>
        <v>362.10150745940484</v>
      </c>
      <c r="R97" s="235">
        <f t="shared" si="35"/>
        <v>0</v>
      </c>
      <c r="S97" s="235">
        <f t="shared" si="36"/>
        <v>362.10150745940484</v>
      </c>
      <c r="T97" s="235">
        <f t="shared" si="37"/>
        <v>0</v>
      </c>
      <c r="U97" s="235">
        <f t="shared" si="38"/>
        <v>-362.10150745940484</v>
      </c>
      <c r="V97" s="235">
        <f t="shared" si="39"/>
        <v>0</v>
      </c>
      <c r="W97" s="235">
        <f t="shared" si="40"/>
        <v>-362.10150745940484</v>
      </c>
      <c r="Y97" s="235">
        <f t="shared" si="41"/>
        <v>443.47325965854259</v>
      </c>
      <c r="Z97" s="235">
        <f t="shared" si="42"/>
        <v>303.86696432769395</v>
      </c>
      <c r="AA97" s="235">
        <f t="shared" si="43"/>
        <v>-443.47325965854259</v>
      </c>
      <c r="AB97" s="235">
        <f t="shared" si="44"/>
        <v>303.86696432769395</v>
      </c>
      <c r="AC97" s="235">
        <f t="shared" si="45"/>
        <v>-443.47325965854259</v>
      </c>
      <c r="AD97" s="235">
        <f t="shared" si="46"/>
        <v>-303.86696432769395</v>
      </c>
      <c r="AE97" s="235">
        <f t="shared" si="47"/>
        <v>443.47325965854259</v>
      </c>
      <c r="AF97" s="235">
        <f t="shared" si="48"/>
        <v>-303.86696432769395</v>
      </c>
    </row>
    <row r="98" spans="6:32" x14ac:dyDescent="0.25">
      <c r="F98">
        <f t="shared" si="49"/>
        <v>94</v>
      </c>
      <c r="G98" s="235">
        <f t="shared" si="25"/>
        <v>448.2417893322903</v>
      </c>
      <c r="H98" s="235">
        <f t="shared" si="26"/>
        <v>255.42131422118598</v>
      </c>
      <c r="I98" s="235">
        <f t="shared" si="27"/>
        <v>-448.2417893322903</v>
      </c>
      <c r="J98" s="235">
        <f t="shared" si="28"/>
        <v>255.42131422118598</v>
      </c>
      <c r="K98" s="235">
        <f t="shared" si="29"/>
        <v>-448.2417893322903</v>
      </c>
      <c r="L98" s="235">
        <f t="shared" si="30"/>
        <v>-255.42131422118598</v>
      </c>
      <c r="M98" s="235">
        <f t="shared" si="31"/>
        <v>448.2417893322903</v>
      </c>
      <c r="N98" s="235">
        <f t="shared" si="32"/>
        <v>-255.42131422118598</v>
      </c>
      <c r="P98" s="235">
        <f t="shared" si="33"/>
        <v>0</v>
      </c>
      <c r="Q98" s="235">
        <f t="shared" si="34"/>
        <v>362.10150745940484</v>
      </c>
      <c r="R98" s="235">
        <f t="shared" si="35"/>
        <v>0</v>
      </c>
      <c r="S98" s="235">
        <f t="shared" si="36"/>
        <v>362.10150745940484</v>
      </c>
      <c r="T98" s="235">
        <f t="shared" si="37"/>
        <v>0</v>
      </c>
      <c r="U98" s="235">
        <f t="shared" si="38"/>
        <v>-362.10150745940484</v>
      </c>
      <c r="V98" s="235">
        <f t="shared" si="39"/>
        <v>0</v>
      </c>
      <c r="W98" s="235">
        <f t="shared" si="40"/>
        <v>-362.10150745940484</v>
      </c>
      <c r="Y98" s="235">
        <f t="shared" si="41"/>
        <v>448.2417893322903</v>
      </c>
      <c r="Z98" s="235">
        <f t="shared" si="42"/>
        <v>302.48407978701454</v>
      </c>
      <c r="AA98" s="235">
        <f t="shared" si="43"/>
        <v>-448.2417893322903</v>
      </c>
      <c r="AB98" s="235">
        <f t="shared" si="44"/>
        <v>302.48407978701454</v>
      </c>
      <c r="AC98" s="235">
        <f t="shared" si="45"/>
        <v>-448.2417893322903</v>
      </c>
      <c r="AD98" s="235">
        <f t="shared" si="46"/>
        <v>-302.48407978701454</v>
      </c>
      <c r="AE98" s="235">
        <f t="shared" si="47"/>
        <v>448.2417893322903</v>
      </c>
      <c r="AF98" s="235">
        <f t="shared" si="48"/>
        <v>-302.48407978701454</v>
      </c>
    </row>
    <row r="99" spans="6:32" x14ac:dyDescent="0.25">
      <c r="F99">
        <f t="shared" si="49"/>
        <v>95</v>
      </c>
      <c r="G99" s="235">
        <f t="shared" si="25"/>
        <v>453.01031900603812</v>
      </c>
      <c r="H99" s="235">
        <f t="shared" si="26"/>
        <v>253.54356293228835</v>
      </c>
      <c r="I99" s="235">
        <f t="shared" si="27"/>
        <v>-453.01031900603812</v>
      </c>
      <c r="J99" s="235">
        <f t="shared" si="28"/>
        <v>253.54356293228835</v>
      </c>
      <c r="K99" s="235">
        <f t="shared" si="29"/>
        <v>-453.01031900603812</v>
      </c>
      <c r="L99" s="235">
        <f t="shared" si="30"/>
        <v>-253.54356293228835</v>
      </c>
      <c r="M99" s="235">
        <f t="shared" si="31"/>
        <v>453.01031900603812</v>
      </c>
      <c r="N99" s="235">
        <f t="shared" si="32"/>
        <v>-253.54356293228835</v>
      </c>
      <c r="P99" s="235">
        <f t="shared" si="33"/>
        <v>0</v>
      </c>
      <c r="Q99" s="235">
        <f t="shared" si="34"/>
        <v>362.10150745940484</v>
      </c>
      <c r="R99" s="235">
        <f t="shared" si="35"/>
        <v>0</v>
      </c>
      <c r="S99" s="235">
        <f t="shared" si="36"/>
        <v>362.10150745940484</v>
      </c>
      <c r="T99" s="235">
        <f t="shared" si="37"/>
        <v>0</v>
      </c>
      <c r="U99" s="235">
        <f t="shared" si="38"/>
        <v>-362.10150745940484</v>
      </c>
      <c r="V99" s="235">
        <f t="shared" si="39"/>
        <v>0</v>
      </c>
      <c r="W99" s="235">
        <f t="shared" si="40"/>
        <v>-362.10150745940484</v>
      </c>
      <c r="Y99" s="235">
        <f t="shared" si="41"/>
        <v>453.01031900603812</v>
      </c>
      <c r="Z99" s="235">
        <f t="shared" si="42"/>
        <v>301.07995114388035</v>
      </c>
      <c r="AA99" s="235">
        <f t="shared" si="43"/>
        <v>-453.01031900603812</v>
      </c>
      <c r="AB99" s="235">
        <f t="shared" si="44"/>
        <v>301.07995114388035</v>
      </c>
      <c r="AC99" s="235">
        <f t="shared" si="45"/>
        <v>-453.01031900603812</v>
      </c>
      <c r="AD99" s="235">
        <f t="shared" si="46"/>
        <v>-301.07995114388035</v>
      </c>
      <c r="AE99" s="235">
        <f t="shared" si="47"/>
        <v>453.01031900603812</v>
      </c>
      <c r="AF99" s="235">
        <f t="shared" si="48"/>
        <v>-301.07995114388035</v>
      </c>
    </row>
    <row r="100" spans="6:32" x14ac:dyDescent="0.25">
      <c r="F100">
        <f t="shared" si="49"/>
        <v>96</v>
      </c>
      <c r="G100" s="235">
        <f t="shared" si="25"/>
        <v>457.77884867978582</v>
      </c>
      <c r="H100" s="235">
        <f t="shared" si="26"/>
        <v>251.64886771717147</v>
      </c>
      <c r="I100" s="235">
        <f t="shared" si="27"/>
        <v>-457.77884867978582</v>
      </c>
      <c r="J100" s="235">
        <f t="shared" si="28"/>
        <v>251.64886771717147</v>
      </c>
      <c r="K100" s="235">
        <f t="shared" si="29"/>
        <v>-457.77884867978582</v>
      </c>
      <c r="L100" s="235">
        <f t="shared" si="30"/>
        <v>-251.64886771717147</v>
      </c>
      <c r="M100" s="235">
        <f t="shared" si="31"/>
        <v>457.77884867978582</v>
      </c>
      <c r="N100" s="235">
        <f t="shared" si="32"/>
        <v>-251.64886771717147</v>
      </c>
      <c r="P100" s="235">
        <f t="shared" si="33"/>
        <v>0</v>
      </c>
      <c r="Q100" s="235">
        <f t="shared" si="34"/>
        <v>362.10150745940484</v>
      </c>
      <c r="R100" s="235">
        <f t="shared" si="35"/>
        <v>0</v>
      </c>
      <c r="S100" s="235">
        <f t="shared" si="36"/>
        <v>362.10150745940484</v>
      </c>
      <c r="T100" s="235">
        <f t="shared" si="37"/>
        <v>0</v>
      </c>
      <c r="U100" s="235">
        <f t="shared" si="38"/>
        <v>-362.10150745940484</v>
      </c>
      <c r="V100" s="235">
        <f t="shared" si="39"/>
        <v>0</v>
      </c>
      <c r="W100" s="235">
        <f t="shared" si="40"/>
        <v>-362.10150745940484</v>
      </c>
      <c r="Y100" s="235">
        <f t="shared" si="41"/>
        <v>457.77884867978582</v>
      </c>
      <c r="Z100" s="235">
        <f t="shared" si="42"/>
        <v>299.65427975976132</v>
      </c>
      <c r="AA100" s="235">
        <f t="shared" si="43"/>
        <v>-457.77884867978582</v>
      </c>
      <c r="AB100" s="235">
        <f t="shared" si="44"/>
        <v>299.65427975976132</v>
      </c>
      <c r="AC100" s="235">
        <f t="shared" si="45"/>
        <v>-457.77884867978582</v>
      </c>
      <c r="AD100" s="235">
        <f t="shared" si="46"/>
        <v>-299.65427975976132</v>
      </c>
      <c r="AE100" s="235">
        <f t="shared" si="47"/>
        <v>457.77884867978582</v>
      </c>
      <c r="AF100" s="235">
        <f t="shared" si="48"/>
        <v>-299.65427975976132</v>
      </c>
    </row>
    <row r="101" spans="6:32" x14ac:dyDescent="0.25">
      <c r="F101">
        <f t="shared" si="49"/>
        <v>97</v>
      </c>
      <c r="G101" s="235">
        <f t="shared" si="25"/>
        <v>462.54737835353365</v>
      </c>
      <c r="H101" s="235">
        <f t="shared" si="26"/>
        <v>249.73706227214819</v>
      </c>
      <c r="I101" s="235">
        <f t="shared" si="27"/>
        <v>-462.54737835353365</v>
      </c>
      <c r="J101" s="235">
        <f t="shared" si="28"/>
        <v>249.73706227214819</v>
      </c>
      <c r="K101" s="235">
        <f t="shared" si="29"/>
        <v>-462.54737835353365</v>
      </c>
      <c r="L101" s="235">
        <f t="shared" si="30"/>
        <v>-249.73706227214819</v>
      </c>
      <c r="M101" s="235">
        <f t="shared" si="31"/>
        <v>462.54737835353365</v>
      </c>
      <c r="N101" s="235">
        <f t="shared" si="32"/>
        <v>-249.73706227214819</v>
      </c>
      <c r="P101" s="235">
        <f t="shared" si="33"/>
        <v>0</v>
      </c>
      <c r="Q101" s="235">
        <f t="shared" si="34"/>
        <v>362.10150745940484</v>
      </c>
      <c r="R101" s="235">
        <f t="shared" si="35"/>
        <v>0</v>
      </c>
      <c r="S101" s="235">
        <f t="shared" si="36"/>
        <v>362.10150745940484</v>
      </c>
      <c r="T101" s="235">
        <f t="shared" si="37"/>
        <v>0</v>
      </c>
      <c r="U101" s="235">
        <f t="shared" si="38"/>
        <v>-362.10150745940484</v>
      </c>
      <c r="V101" s="235">
        <f t="shared" si="39"/>
        <v>0</v>
      </c>
      <c r="W101" s="235">
        <f t="shared" si="40"/>
        <v>-362.10150745940484</v>
      </c>
      <c r="Y101" s="235">
        <f t="shared" si="41"/>
        <v>462.54737835353365</v>
      </c>
      <c r="Z101" s="235">
        <f t="shared" si="42"/>
        <v>298.20675665922914</v>
      </c>
      <c r="AA101" s="235">
        <f t="shared" si="43"/>
        <v>-462.54737835353365</v>
      </c>
      <c r="AB101" s="235">
        <f t="shared" si="44"/>
        <v>298.20675665922914</v>
      </c>
      <c r="AC101" s="235">
        <f t="shared" si="45"/>
        <v>-462.54737835353365</v>
      </c>
      <c r="AD101" s="235">
        <f t="shared" si="46"/>
        <v>-298.20675665922914</v>
      </c>
      <c r="AE101" s="235">
        <f t="shared" si="47"/>
        <v>462.54737835353365</v>
      </c>
      <c r="AF101" s="235">
        <f t="shared" si="48"/>
        <v>-298.20675665922914</v>
      </c>
    </row>
    <row r="102" spans="6:32" x14ac:dyDescent="0.25">
      <c r="F102">
        <f t="shared" si="49"/>
        <v>98</v>
      </c>
      <c r="G102" s="235">
        <f t="shared" si="25"/>
        <v>467.31590802728135</v>
      </c>
      <c r="H102" s="235">
        <f t="shared" si="26"/>
        <v>247.80797339573553</v>
      </c>
      <c r="I102" s="235">
        <f t="shared" si="27"/>
        <v>-467.31590802728135</v>
      </c>
      <c r="J102" s="235">
        <f t="shared" si="28"/>
        <v>247.80797339573553</v>
      </c>
      <c r="K102" s="235">
        <f t="shared" si="29"/>
        <v>-467.31590802728135</v>
      </c>
      <c r="L102" s="235">
        <f t="shared" si="30"/>
        <v>-247.80797339573553</v>
      </c>
      <c r="M102" s="235">
        <f t="shared" si="31"/>
        <v>467.31590802728135</v>
      </c>
      <c r="N102" s="235">
        <f t="shared" si="32"/>
        <v>-247.80797339573553</v>
      </c>
      <c r="P102" s="235">
        <f t="shared" si="33"/>
        <v>0</v>
      </c>
      <c r="Q102" s="235">
        <f t="shared" si="34"/>
        <v>362.10150745940484</v>
      </c>
      <c r="R102" s="235">
        <f t="shared" si="35"/>
        <v>0</v>
      </c>
      <c r="S102" s="235">
        <f t="shared" si="36"/>
        <v>362.10150745940484</v>
      </c>
      <c r="T102" s="235">
        <f t="shared" si="37"/>
        <v>0</v>
      </c>
      <c r="U102" s="235">
        <f t="shared" si="38"/>
        <v>-362.10150745940484</v>
      </c>
      <c r="V102" s="235">
        <f t="shared" si="39"/>
        <v>0</v>
      </c>
      <c r="W102" s="235">
        <f t="shared" si="40"/>
        <v>-362.10150745940484</v>
      </c>
      <c r="Y102" s="235">
        <f t="shared" si="41"/>
        <v>467.31590802728135</v>
      </c>
      <c r="Z102" s="235">
        <f t="shared" si="42"/>
        <v>296.73706205566509</v>
      </c>
      <c r="AA102" s="235">
        <f t="shared" si="43"/>
        <v>-467.31590802728135</v>
      </c>
      <c r="AB102" s="235">
        <f t="shared" si="44"/>
        <v>296.73706205566509</v>
      </c>
      <c r="AC102" s="235">
        <f t="shared" si="45"/>
        <v>-467.31590802728135</v>
      </c>
      <c r="AD102" s="235">
        <f t="shared" si="46"/>
        <v>-296.73706205566509</v>
      </c>
      <c r="AE102" s="235">
        <f t="shared" si="47"/>
        <v>467.31590802728135</v>
      </c>
      <c r="AF102" s="235">
        <f t="shared" si="48"/>
        <v>-296.73706205566509</v>
      </c>
    </row>
    <row r="103" spans="6:32" x14ac:dyDescent="0.25">
      <c r="F103">
        <f t="shared" si="49"/>
        <v>99</v>
      </c>
      <c r="G103" s="235">
        <f t="shared" si="25"/>
        <v>472.08443770102917</v>
      </c>
      <c r="H103" s="235">
        <f t="shared" si="26"/>
        <v>245.86142072217993</v>
      </c>
      <c r="I103" s="235">
        <f t="shared" si="27"/>
        <v>-472.08443770102917</v>
      </c>
      <c r="J103" s="235">
        <f t="shared" si="28"/>
        <v>245.86142072217993</v>
      </c>
      <c r="K103" s="235">
        <f t="shared" si="29"/>
        <v>-472.08443770102917</v>
      </c>
      <c r="L103" s="235">
        <f t="shared" si="30"/>
        <v>-245.86142072217993</v>
      </c>
      <c r="M103" s="235">
        <f t="shared" si="31"/>
        <v>472.08443770102917</v>
      </c>
      <c r="N103" s="235">
        <f t="shared" si="32"/>
        <v>-245.86142072217993</v>
      </c>
      <c r="P103" s="235">
        <f t="shared" si="33"/>
        <v>0</v>
      </c>
      <c r="Q103" s="235">
        <f t="shared" si="34"/>
        <v>362.10150745940484</v>
      </c>
      <c r="R103" s="235">
        <f t="shared" si="35"/>
        <v>0</v>
      </c>
      <c r="S103" s="235">
        <f t="shared" si="36"/>
        <v>362.10150745940484</v>
      </c>
      <c r="T103" s="235">
        <f t="shared" si="37"/>
        <v>0</v>
      </c>
      <c r="U103" s="235">
        <f t="shared" si="38"/>
        <v>-362.10150745940484</v>
      </c>
      <c r="V103" s="235">
        <f t="shared" si="39"/>
        <v>0</v>
      </c>
      <c r="W103" s="235">
        <f t="shared" si="40"/>
        <v>-362.10150745940484</v>
      </c>
      <c r="Y103" s="235">
        <f t="shared" si="41"/>
        <v>472.08443770102917</v>
      </c>
      <c r="Z103" s="235">
        <f t="shared" si="42"/>
        <v>295.24486484776332</v>
      </c>
      <c r="AA103" s="235">
        <f t="shared" si="43"/>
        <v>-472.08443770102917</v>
      </c>
      <c r="AB103" s="235">
        <f t="shared" si="44"/>
        <v>295.24486484776332</v>
      </c>
      <c r="AC103" s="235">
        <f t="shared" si="45"/>
        <v>-472.08443770102917</v>
      </c>
      <c r="AD103" s="235">
        <f t="shared" si="46"/>
        <v>-295.24486484776332</v>
      </c>
      <c r="AE103" s="235">
        <f t="shared" si="47"/>
        <v>472.08443770102917</v>
      </c>
      <c r="AF103" s="235">
        <f t="shared" si="48"/>
        <v>-295.24486484776332</v>
      </c>
    </row>
    <row r="104" spans="6:32" x14ac:dyDescent="0.25">
      <c r="F104">
        <f t="shared" si="49"/>
        <v>100</v>
      </c>
      <c r="G104" s="235">
        <f t="shared" si="25"/>
        <v>476.85296737477688</v>
      </c>
      <c r="H104" s="235">
        <f t="shared" si="26"/>
        <v>243.8972164374149</v>
      </c>
      <c r="I104" s="235">
        <f t="shared" si="27"/>
        <v>-476.85296737477688</v>
      </c>
      <c r="J104" s="235">
        <f t="shared" si="28"/>
        <v>243.8972164374149</v>
      </c>
      <c r="K104" s="235">
        <f t="shared" si="29"/>
        <v>-476.85296737477688</v>
      </c>
      <c r="L104" s="235">
        <f t="shared" si="30"/>
        <v>-243.8972164374149</v>
      </c>
      <c r="M104" s="235">
        <f t="shared" si="31"/>
        <v>476.85296737477688</v>
      </c>
      <c r="N104" s="235">
        <f t="shared" si="32"/>
        <v>-243.8972164374149</v>
      </c>
      <c r="P104" s="235">
        <f t="shared" si="33"/>
        <v>0</v>
      </c>
      <c r="Q104" s="235">
        <f t="shared" si="34"/>
        <v>362.10150745940484</v>
      </c>
      <c r="R104" s="235">
        <f t="shared" si="35"/>
        <v>0</v>
      </c>
      <c r="S104" s="235">
        <f t="shared" si="36"/>
        <v>362.10150745940484</v>
      </c>
      <c r="T104" s="235">
        <f t="shared" si="37"/>
        <v>0</v>
      </c>
      <c r="U104" s="235">
        <f t="shared" si="38"/>
        <v>-362.10150745940484</v>
      </c>
      <c r="V104" s="235">
        <f t="shared" si="39"/>
        <v>0</v>
      </c>
      <c r="W104" s="235">
        <f t="shared" si="40"/>
        <v>-362.10150745940484</v>
      </c>
      <c r="Y104" s="235">
        <f t="shared" si="41"/>
        <v>476.85296737477688</v>
      </c>
      <c r="Z104" s="235">
        <f t="shared" si="42"/>
        <v>293.72982208460877</v>
      </c>
      <c r="AA104" s="235">
        <f t="shared" si="43"/>
        <v>-476.85296737477688</v>
      </c>
      <c r="AB104" s="235">
        <f t="shared" si="44"/>
        <v>293.72982208460877</v>
      </c>
      <c r="AC104" s="235">
        <f t="shared" si="45"/>
        <v>-476.85296737477688</v>
      </c>
      <c r="AD104" s="235">
        <f t="shared" si="46"/>
        <v>-293.72982208460877</v>
      </c>
      <c r="AE104" s="235">
        <f t="shared" si="47"/>
        <v>476.85296737477688</v>
      </c>
      <c r="AF104" s="235">
        <f t="shared" si="48"/>
        <v>-293.72982208460877</v>
      </c>
    </row>
    <row r="105" spans="6:32" x14ac:dyDescent="0.25">
      <c r="F105">
        <f t="shared" si="49"/>
        <v>101</v>
      </c>
      <c r="G105" s="235">
        <f t="shared" si="25"/>
        <v>481.6214970485247</v>
      </c>
      <c r="H105" s="235">
        <f t="shared" si="26"/>
        <v>241.91516497620674</v>
      </c>
      <c r="I105" s="235">
        <f t="shared" si="27"/>
        <v>-481.6214970485247</v>
      </c>
      <c r="J105" s="235">
        <f t="shared" si="28"/>
        <v>241.91516497620674</v>
      </c>
      <c r="K105" s="235">
        <f t="shared" si="29"/>
        <v>-481.6214970485247</v>
      </c>
      <c r="L105" s="235">
        <f t="shared" si="30"/>
        <v>-241.91516497620674</v>
      </c>
      <c r="M105" s="235">
        <f t="shared" si="31"/>
        <v>481.6214970485247</v>
      </c>
      <c r="N105" s="235">
        <f t="shared" si="32"/>
        <v>-241.91516497620674</v>
      </c>
      <c r="P105" s="235">
        <f t="shared" si="33"/>
        <v>0</v>
      </c>
      <c r="Q105" s="235">
        <f t="shared" si="34"/>
        <v>362.10150745940484</v>
      </c>
      <c r="R105" s="235">
        <f t="shared" si="35"/>
        <v>0</v>
      </c>
      <c r="S105" s="235">
        <f t="shared" si="36"/>
        <v>362.10150745940484</v>
      </c>
      <c r="T105" s="235">
        <f t="shared" si="37"/>
        <v>0</v>
      </c>
      <c r="U105" s="235">
        <f t="shared" si="38"/>
        <v>-362.10150745940484</v>
      </c>
      <c r="V105" s="235">
        <f t="shared" si="39"/>
        <v>0</v>
      </c>
      <c r="W105" s="235">
        <f t="shared" si="40"/>
        <v>-362.10150745940484</v>
      </c>
      <c r="Y105" s="235">
        <f t="shared" si="41"/>
        <v>481.6214970485247</v>
      </c>
      <c r="Z105" s="235">
        <f t="shared" si="42"/>
        <v>292.19157839690268</v>
      </c>
      <c r="AA105" s="235">
        <f t="shared" si="43"/>
        <v>-481.6214970485247</v>
      </c>
      <c r="AB105" s="235">
        <f t="shared" si="44"/>
        <v>292.19157839690268</v>
      </c>
      <c r="AC105" s="235">
        <f t="shared" si="45"/>
        <v>-481.6214970485247</v>
      </c>
      <c r="AD105" s="235">
        <f t="shared" si="46"/>
        <v>-292.19157839690268</v>
      </c>
      <c r="AE105" s="235">
        <f t="shared" si="47"/>
        <v>481.6214970485247</v>
      </c>
      <c r="AF105" s="235">
        <f t="shared" si="48"/>
        <v>-292.19157839690268</v>
      </c>
    </row>
    <row r="106" spans="6:32" x14ac:dyDescent="0.25">
      <c r="F106">
        <f t="shared" si="49"/>
        <v>102</v>
      </c>
      <c r="G106" s="235">
        <f t="shared" si="25"/>
        <v>486.39002672227241</v>
      </c>
      <c r="H106" s="235">
        <f t="shared" si="26"/>
        <v>239.91506269912753</v>
      </c>
      <c r="I106" s="235">
        <f t="shared" si="27"/>
        <v>-486.39002672227241</v>
      </c>
      <c r="J106" s="235">
        <f t="shared" si="28"/>
        <v>239.91506269912753</v>
      </c>
      <c r="K106" s="235">
        <f t="shared" si="29"/>
        <v>-486.39002672227241</v>
      </c>
      <c r="L106" s="235">
        <f t="shared" si="30"/>
        <v>-239.91506269912753</v>
      </c>
      <c r="M106" s="235">
        <f t="shared" si="31"/>
        <v>486.39002672227241</v>
      </c>
      <c r="N106" s="235">
        <f t="shared" si="32"/>
        <v>-239.91506269912753</v>
      </c>
      <c r="P106" s="235">
        <f t="shared" si="33"/>
        <v>0</v>
      </c>
      <c r="Q106" s="235">
        <f t="shared" si="34"/>
        <v>362.10150745940484</v>
      </c>
      <c r="R106" s="235">
        <f t="shared" si="35"/>
        <v>0</v>
      </c>
      <c r="S106" s="235">
        <f t="shared" si="36"/>
        <v>362.10150745940484</v>
      </c>
      <c r="T106" s="235">
        <f t="shared" si="37"/>
        <v>0</v>
      </c>
      <c r="U106" s="235">
        <f t="shared" si="38"/>
        <v>-362.10150745940484</v>
      </c>
      <c r="V106" s="235">
        <f t="shared" si="39"/>
        <v>0</v>
      </c>
      <c r="W106" s="235">
        <f t="shared" si="40"/>
        <v>-362.10150745940484</v>
      </c>
      <c r="Y106" s="235">
        <f t="shared" si="41"/>
        <v>486.39002672227241</v>
      </c>
      <c r="Z106" s="235">
        <f t="shared" si="42"/>
        <v>290.62976539168562</v>
      </c>
      <c r="AA106" s="235">
        <f t="shared" si="43"/>
        <v>-486.39002672227241</v>
      </c>
      <c r="AB106" s="235">
        <f t="shared" si="44"/>
        <v>290.62976539168562</v>
      </c>
      <c r="AC106" s="235">
        <f t="shared" si="45"/>
        <v>-486.39002672227241</v>
      </c>
      <c r="AD106" s="235">
        <f t="shared" si="46"/>
        <v>-290.62976539168562</v>
      </c>
      <c r="AE106" s="235">
        <f t="shared" si="47"/>
        <v>486.39002672227241</v>
      </c>
      <c r="AF106" s="235">
        <f t="shared" si="48"/>
        <v>-290.62976539168562</v>
      </c>
    </row>
    <row r="107" spans="6:32" x14ac:dyDescent="0.25">
      <c r="F107">
        <f t="shared" si="49"/>
        <v>103</v>
      </c>
      <c r="G107" s="235">
        <f t="shared" si="25"/>
        <v>491.15855639602023</v>
      </c>
      <c r="H107" s="235">
        <f t="shared" si="26"/>
        <v>237.89669754786524</v>
      </c>
      <c r="I107" s="235">
        <f t="shared" si="27"/>
        <v>-491.15855639602023</v>
      </c>
      <c r="J107" s="235">
        <f t="shared" si="28"/>
        <v>237.89669754786524</v>
      </c>
      <c r="K107" s="235">
        <f t="shared" si="29"/>
        <v>-491.15855639602023</v>
      </c>
      <c r="L107" s="235">
        <f t="shared" si="30"/>
        <v>-237.89669754786524</v>
      </c>
      <c r="M107" s="235">
        <f t="shared" si="31"/>
        <v>491.15855639602023</v>
      </c>
      <c r="N107" s="235">
        <f t="shared" si="32"/>
        <v>-237.89669754786524</v>
      </c>
      <c r="P107" s="235">
        <f t="shared" si="33"/>
        <v>0</v>
      </c>
      <c r="Q107" s="235">
        <f t="shared" si="34"/>
        <v>362.10150745940484</v>
      </c>
      <c r="R107" s="235">
        <f t="shared" si="35"/>
        <v>0</v>
      </c>
      <c r="S107" s="235">
        <f t="shared" si="36"/>
        <v>362.10150745940484</v>
      </c>
      <c r="T107" s="235">
        <f t="shared" si="37"/>
        <v>0</v>
      </c>
      <c r="U107" s="235">
        <f t="shared" si="38"/>
        <v>-362.10150745940484</v>
      </c>
      <c r="V107" s="235">
        <f t="shared" si="39"/>
        <v>0</v>
      </c>
      <c r="W107" s="235">
        <f t="shared" si="40"/>
        <v>-362.10150745940484</v>
      </c>
      <c r="Y107" s="235">
        <f t="shared" si="41"/>
        <v>491.15855639602023</v>
      </c>
      <c r="Z107" s="235">
        <f t="shared" si="42"/>
        <v>289.0440010076573</v>
      </c>
      <c r="AA107" s="235">
        <f t="shared" si="43"/>
        <v>-491.15855639602023</v>
      </c>
      <c r="AB107" s="235">
        <f t="shared" si="44"/>
        <v>289.0440010076573</v>
      </c>
      <c r="AC107" s="235">
        <f t="shared" si="45"/>
        <v>-491.15855639602023</v>
      </c>
      <c r="AD107" s="235">
        <f t="shared" si="46"/>
        <v>-289.0440010076573</v>
      </c>
      <c r="AE107" s="235">
        <f t="shared" si="47"/>
        <v>491.15855639602023</v>
      </c>
      <c r="AF107" s="235">
        <f t="shared" si="48"/>
        <v>-289.0440010076573</v>
      </c>
    </row>
    <row r="108" spans="6:32" x14ac:dyDescent="0.25">
      <c r="F108">
        <f t="shared" si="49"/>
        <v>104</v>
      </c>
      <c r="G108" s="235">
        <f t="shared" si="25"/>
        <v>495.927086069768</v>
      </c>
      <c r="H108" s="235">
        <f t="shared" si="26"/>
        <v>235.85984867724014</v>
      </c>
      <c r="I108" s="235">
        <f t="shared" si="27"/>
        <v>-495.927086069768</v>
      </c>
      <c r="J108" s="235">
        <f t="shared" si="28"/>
        <v>235.85984867724014</v>
      </c>
      <c r="K108" s="235">
        <f t="shared" si="29"/>
        <v>-495.927086069768</v>
      </c>
      <c r="L108" s="235">
        <f t="shared" si="30"/>
        <v>-235.85984867724014</v>
      </c>
      <c r="M108" s="235">
        <f t="shared" si="31"/>
        <v>495.927086069768</v>
      </c>
      <c r="N108" s="235">
        <f t="shared" si="32"/>
        <v>-235.85984867724014</v>
      </c>
      <c r="P108" s="235">
        <f t="shared" si="33"/>
        <v>0</v>
      </c>
      <c r="Q108" s="235">
        <f t="shared" si="34"/>
        <v>362.10150745940484</v>
      </c>
      <c r="R108" s="235">
        <f t="shared" si="35"/>
        <v>0</v>
      </c>
      <c r="S108" s="235">
        <f t="shared" si="36"/>
        <v>362.10150745940484</v>
      </c>
      <c r="T108" s="235">
        <f t="shared" si="37"/>
        <v>0</v>
      </c>
      <c r="U108" s="235">
        <f t="shared" si="38"/>
        <v>-362.10150745940484</v>
      </c>
      <c r="V108" s="235">
        <f t="shared" si="39"/>
        <v>0</v>
      </c>
      <c r="W108" s="235">
        <f t="shared" si="40"/>
        <v>-362.10150745940484</v>
      </c>
      <c r="Y108" s="235">
        <f t="shared" si="41"/>
        <v>495.927086069768</v>
      </c>
      <c r="Z108" s="235">
        <f t="shared" si="42"/>
        <v>287.4338888279155</v>
      </c>
      <c r="AA108" s="235">
        <f t="shared" si="43"/>
        <v>-495.927086069768</v>
      </c>
      <c r="AB108" s="235">
        <f t="shared" si="44"/>
        <v>287.4338888279155</v>
      </c>
      <c r="AC108" s="235">
        <f t="shared" si="45"/>
        <v>-495.927086069768</v>
      </c>
      <c r="AD108" s="235">
        <f t="shared" si="46"/>
        <v>-287.4338888279155</v>
      </c>
      <c r="AE108" s="235">
        <f t="shared" si="47"/>
        <v>495.927086069768</v>
      </c>
      <c r="AF108" s="235">
        <f t="shared" si="48"/>
        <v>-287.4338888279155</v>
      </c>
    </row>
    <row r="109" spans="6:32" x14ac:dyDescent="0.25">
      <c r="F109">
        <f t="shared" si="49"/>
        <v>105</v>
      </c>
      <c r="G109" s="235">
        <f t="shared" si="25"/>
        <v>500.69561574351582</v>
      </c>
      <c r="H109" s="235">
        <f t="shared" si="26"/>
        <v>233.80428606213772</v>
      </c>
      <c r="I109" s="235">
        <f t="shared" si="27"/>
        <v>-500.69561574351582</v>
      </c>
      <c r="J109" s="235">
        <f t="shared" si="28"/>
        <v>233.80428606213772</v>
      </c>
      <c r="K109" s="235">
        <f t="shared" si="29"/>
        <v>-500.69561574351582</v>
      </c>
      <c r="L109" s="235">
        <f t="shared" si="30"/>
        <v>-233.80428606213772</v>
      </c>
      <c r="M109" s="235">
        <f t="shared" si="31"/>
        <v>500.69561574351582</v>
      </c>
      <c r="N109" s="235">
        <f t="shared" si="32"/>
        <v>-233.80428606213772</v>
      </c>
      <c r="P109" s="235">
        <f t="shared" si="33"/>
        <v>0</v>
      </c>
      <c r="Q109" s="235">
        <f t="shared" si="34"/>
        <v>362.10150745940484</v>
      </c>
      <c r="R109" s="235">
        <f t="shared" si="35"/>
        <v>0</v>
      </c>
      <c r="S109" s="235">
        <f t="shared" si="36"/>
        <v>362.10150745940484</v>
      </c>
      <c r="T109" s="235">
        <f t="shared" si="37"/>
        <v>0</v>
      </c>
      <c r="U109" s="235">
        <f t="shared" si="38"/>
        <v>-362.10150745940484</v>
      </c>
      <c r="V109" s="235">
        <f t="shared" si="39"/>
        <v>0</v>
      </c>
      <c r="W109" s="235">
        <f t="shared" si="40"/>
        <v>-362.10150745940484</v>
      </c>
      <c r="Y109" s="235">
        <f t="shared" si="41"/>
        <v>500.69561574351582</v>
      </c>
      <c r="Z109" s="235">
        <f t="shared" si="42"/>
        <v>285.79901734662747</v>
      </c>
      <c r="AA109" s="235">
        <f t="shared" si="43"/>
        <v>-500.69561574351582</v>
      </c>
      <c r="AB109" s="235">
        <f t="shared" si="44"/>
        <v>285.79901734662747</v>
      </c>
      <c r="AC109" s="235">
        <f t="shared" si="45"/>
        <v>-500.69561574351582</v>
      </c>
      <c r="AD109" s="235">
        <f t="shared" si="46"/>
        <v>-285.79901734662747</v>
      </c>
      <c r="AE109" s="235">
        <f t="shared" si="47"/>
        <v>500.69561574351582</v>
      </c>
      <c r="AF109" s="235">
        <f t="shared" si="48"/>
        <v>-285.79901734662747</v>
      </c>
    </row>
    <row r="110" spans="6:32" x14ac:dyDescent="0.25">
      <c r="F110">
        <f t="shared" si="49"/>
        <v>106</v>
      </c>
      <c r="G110" s="235">
        <f t="shared" si="25"/>
        <v>505.46414541726352</v>
      </c>
      <c r="H110" s="235">
        <f t="shared" si="26"/>
        <v>231.72977007739388</v>
      </c>
      <c r="I110" s="235">
        <f t="shared" si="27"/>
        <v>-505.46414541726352</v>
      </c>
      <c r="J110" s="235">
        <f t="shared" si="28"/>
        <v>231.72977007739388</v>
      </c>
      <c r="K110" s="235">
        <f t="shared" si="29"/>
        <v>-505.46414541726352</v>
      </c>
      <c r="L110" s="235">
        <f t="shared" si="30"/>
        <v>-231.72977007739388</v>
      </c>
      <c r="M110" s="235">
        <f t="shared" si="31"/>
        <v>505.46414541726352</v>
      </c>
      <c r="N110" s="235">
        <f t="shared" si="32"/>
        <v>-231.72977007739388</v>
      </c>
      <c r="P110" s="235">
        <f t="shared" si="33"/>
        <v>0</v>
      </c>
      <c r="Q110" s="235">
        <f t="shared" si="34"/>
        <v>362.10150745940484</v>
      </c>
      <c r="R110" s="235">
        <f t="shared" si="35"/>
        <v>0</v>
      </c>
      <c r="S110" s="235">
        <f t="shared" si="36"/>
        <v>362.10150745940484</v>
      </c>
      <c r="T110" s="235">
        <f t="shared" si="37"/>
        <v>0</v>
      </c>
      <c r="U110" s="235">
        <f t="shared" si="38"/>
        <v>-362.10150745940484</v>
      </c>
      <c r="V110" s="235">
        <f t="shared" si="39"/>
        <v>0</v>
      </c>
      <c r="W110" s="235">
        <f t="shared" si="40"/>
        <v>-362.10150745940484</v>
      </c>
      <c r="Y110" s="235">
        <f t="shared" si="41"/>
        <v>505.46414541726352</v>
      </c>
      <c r="Z110" s="235">
        <f t="shared" si="42"/>
        <v>284.13895918580533</v>
      </c>
      <c r="AA110" s="235">
        <f t="shared" si="43"/>
        <v>-505.46414541726352</v>
      </c>
      <c r="AB110" s="235">
        <f t="shared" si="44"/>
        <v>284.13895918580533</v>
      </c>
      <c r="AC110" s="235">
        <f t="shared" si="45"/>
        <v>-505.46414541726352</v>
      </c>
      <c r="AD110" s="235">
        <f t="shared" si="46"/>
        <v>-284.13895918580533</v>
      </c>
      <c r="AE110" s="235">
        <f t="shared" si="47"/>
        <v>505.46414541726352</v>
      </c>
      <c r="AF110" s="235">
        <f t="shared" si="48"/>
        <v>-284.13895918580533</v>
      </c>
    </row>
    <row r="111" spans="6:32" x14ac:dyDescent="0.25">
      <c r="F111">
        <f t="shared" si="49"/>
        <v>107</v>
      </c>
      <c r="G111" s="235">
        <f t="shared" si="25"/>
        <v>510.23267509101134</v>
      </c>
      <c r="H111" s="235">
        <f t="shared" si="26"/>
        <v>229.63605104847412</v>
      </c>
      <c r="I111" s="235">
        <f t="shared" si="27"/>
        <v>-510.23267509101134</v>
      </c>
      <c r="J111" s="235">
        <f t="shared" si="28"/>
        <v>229.63605104847412</v>
      </c>
      <c r="K111" s="235">
        <f t="shared" si="29"/>
        <v>-510.23267509101134</v>
      </c>
      <c r="L111" s="235">
        <f t="shared" si="30"/>
        <v>-229.63605104847412</v>
      </c>
      <c r="M111" s="235">
        <f t="shared" si="31"/>
        <v>510.23267509101134</v>
      </c>
      <c r="N111" s="235">
        <f t="shared" si="32"/>
        <v>-229.63605104847412</v>
      </c>
      <c r="P111" s="235">
        <f t="shared" si="33"/>
        <v>0</v>
      </c>
      <c r="Q111" s="235">
        <f t="shared" si="34"/>
        <v>362.10150745940484</v>
      </c>
      <c r="R111" s="235">
        <f t="shared" si="35"/>
        <v>0</v>
      </c>
      <c r="S111" s="235">
        <f t="shared" si="36"/>
        <v>362.10150745940484</v>
      </c>
      <c r="T111" s="235">
        <f t="shared" si="37"/>
        <v>0</v>
      </c>
      <c r="U111" s="235">
        <f t="shared" si="38"/>
        <v>-362.10150745940484</v>
      </c>
      <c r="V111" s="235">
        <f t="shared" si="39"/>
        <v>0</v>
      </c>
      <c r="W111" s="235">
        <f t="shared" si="40"/>
        <v>-362.10150745940484</v>
      </c>
      <c r="Y111" s="235">
        <f t="shared" si="41"/>
        <v>510.23267509101134</v>
      </c>
      <c r="Z111" s="235">
        <f t="shared" si="42"/>
        <v>282.45327025797229</v>
      </c>
      <c r="AA111" s="235">
        <f t="shared" si="43"/>
        <v>-510.23267509101134</v>
      </c>
      <c r="AB111" s="235">
        <f t="shared" si="44"/>
        <v>282.45327025797229</v>
      </c>
      <c r="AC111" s="235">
        <f t="shared" si="45"/>
        <v>-510.23267509101134</v>
      </c>
      <c r="AD111" s="235">
        <f t="shared" si="46"/>
        <v>-282.45327025797229</v>
      </c>
      <c r="AE111" s="235">
        <f t="shared" si="47"/>
        <v>510.23267509101134</v>
      </c>
      <c r="AF111" s="235">
        <f t="shared" si="48"/>
        <v>-282.45327025797229</v>
      </c>
    </row>
    <row r="112" spans="6:32" x14ac:dyDescent="0.25">
      <c r="F112">
        <f t="shared" si="49"/>
        <v>108</v>
      </c>
      <c r="G112" s="235">
        <f t="shared" si="25"/>
        <v>515.001204764759</v>
      </c>
      <c r="H112" s="235">
        <f t="shared" si="26"/>
        <v>227.52286877057122</v>
      </c>
      <c r="I112" s="235">
        <f t="shared" si="27"/>
        <v>-515.001204764759</v>
      </c>
      <c r="J112" s="235">
        <f t="shared" si="28"/>
        <v>227.52286877057122</v>
      </c>
      <c r="K112" s="235">
        <f t="shared" si="29"/>
        <v>-515.001204764759</v>
      </c>
      <c r="L112" s="235">
        <f t="shared" si="30"/>
        <v>-227.52286877057122</v>
      </c>
      <c r="M112" s="235">
        <f t="shared" si="31"/>
        <v>515.001204764759</v>
      </c>
      <c r="N112" s="235">
        <f t="shared" si="32"/>
        <v>-227.52286877057122</v>
      </c>
      <c r="P112" s="235">
        <f t="shared" si="33"/>
        <v>0</v>
      </c>
      <c r="Q112" s="235">
        <f t="shared" si="34"/>
        <v>362.10150745940484</v>
      </c>
      <c r="R112" s="235">
        <f t="shared" si="35"/>
        <v>0</v>
      </c>
      <c r="S112" s="235">
        <f t="shared" si="36"/>
        <v>362.10150745940484</v>
      </c>
      <c r="T112" s="235">
        <f t="shared" si="37"/>
        <v>0</v>
      </c>
      <c r="U112" s="235">
        <f t="shared" si="38"/>
        <v>-362.10150745940484</v>
      </c>
      <c r="V112" s="235">
        <f t="shared" si="39"/>
        <v>0</v>
      </c>
      <c r="W112" s="235">
        <f t="shared" si="40"/>
        <v>-362.10150745940484</v>
      </c>
      <c r="Y112" s="235">
        <f t="shared" si="41"/>
        <v>515.001204764759</v>
      </c>
      <c r="Z112" s="235">
        <f t="shared" si="42"/>
        <v>280.74148887007965</v>
      </c>
      <c r="AA112" s="235">
        <f t="shared" si="43"/>
        <v>-515.001204764759</v>
      </c>
      <c r="AB112" s="235">
        <f t="shared" si="44"/>
        <v>280.74148887007965</v>
      </c>
      <c r="AC112" s="235">
        <f t="shared" si="45"/>
        <v>-515.001204764759</v>
      </c>
      <c r="AD112" s="235">
        <f t="shared" si="46"/>
        <v>-280.74148887007965</v>
      </c>
      <c r="AE112" s="235">
        <f t="shared" si="47"/>
        <v>515.001204764759</v>
      </c>
      <c r="AF112" s="235">
        <f t="shared" si="48"/>
        <v>-280.74148887007965</v>
      </c>
    </row>
    <row r="113" spans="6:32" x14ac:dyDescent="0.25">
      <c r="F113">
        <f t="shared" si="49"/>
        <v>109</v>
      </c>
      <c r="G113" s="235">
        <f t="shared" si="25"/>
        <v>519.76973443850682</v>
      </c>
      <c r="H113" s="235">
        <f t="shared" si="26"/>
        <v>225.38995199350435</v>
      </c>
      <c r="I113" s="235">
        <f t="shared" si="27"/>
        <v>-519.76973443850682</v>
      </c>
      <c r="J113" s="235">
        <f t="shared" si="28"/>
        <v>225.38995199350435</v>
      </c>
      <c r="K113" s="235">
        <f t="shared" si="29"/>
        <v>-519.76973443850682</v>
      </c>
      <c r="L113" s="235">
        <f t="shared" si="30"/>
        <v>-225.38995199350435</v>
      </c>
      <c r="M113" s="235">
        <f t="shared" si="31"/>
        <v>519.76973443850682</v>
      </c>
      <c r="N113" s="235">
        <f t="shared" si="32"/>
        <v>-225.38995199350435</v>
      </c>
      <c r="P113" s="235">
        <f t="shared" si="33"/>
        <v>0</v>
      </c>
      <c r="Q113" s="235">
        <f t="shared" si="34"/>
        <v>362.10150745940484</v>
      </c>
      <c r="R113" s="235">
        <f t="shared" si="35"/>
        <v>0</v>
      </c>
      <c r="S113" s="235">
        <f t="shared" si="36"/>
        <v>362.10150745940484</v>
      </c>
      <c r="T113" s="235">
        <f t="shared" si="37"/>
        <v>0</v>
      </c>
      <c r="U113" s="235">
        <f t="shared" si="38"/>
        <v>-362.10150745940484</v>
      </c>
      <c r="V113" s="235">
        <f t="shared" si="39"/>
        <v>0</v>
      </c>
      <c r="W113" s="235">
        <f t="shared" si="40"/>
        <v>-362.10150745940484</v>
      </c>
      <c r="Y113" s="235">
        <f t="shared" si="41"/>
        <v>519.76973443850682</v>
      </c>
      <c r="Z113" s="235">
        <f t="shared" si="42"/>
        <v>279.00313476355495</v>
      </c>
      <c r="AA113" s="235">
        <f t="shared" si="43"/>
        <v>-519.76973443850682</v>
      </c>
      <c r="AB113" s="235">
        <f t="shared" si="44"/>
        <v>279.00313476355495</v>
      </c>
      <c r="AC113" s="235">
        <f t="shared" si="45"/>
        <v>-519.76973443850682</v>
      </c>
      <c r="AD113" s="235">
        <f t="shared" si="46"/>
        <v>-279.00313476355495</v>
      </c>
      <c r="AE113" s="235">
        <f t="shared" si="47"/>
        <v>519.76973443850682</v>
      </c>
      <c r="AF113" s="235">
        <f t="shared" si="48"/>
        <v>-279.00313476355495</v>
      </c>
    </row>
    <row r="114" spans="6:32" x14ac:dyDescent="0.25">
      <c r="F114">
        <f t="shared" si="49"/>
        <v>110</v>
      </c>
      <c r="G114" s="235">
        <f t="shared" si="25"/>
        <v>524.53826411225464</v>
      </c>
      <c r="H114" s="235">
        <f t="shared" si="26"/>
        <v>223.2370178695347</v>
      </c>
      <c r="I114" s="235">
        <f t="shared" si="27"/>
        <v>-524.53826411225464</v>
      </c>
      <c r="J114" s="235">
        <f t="shared" si="28"/>
        <v>223.2370178695347</v>
      </c>
      <c r="K114" s="235">
        <f t="shared" si="29"/>
        <v>-524.53826411225464</v>
      </c>
      <c r="L114" s="235">
        <f t="shared" si="30"/>
        <v>-223.2370178695347</v>
      </c>
      <c r="M114" s="235">
        <f t="shared" si="31"/>
        <v>524.53826411225464</v>
      </c>
      <c r="N114" s="235">
        <f t="shared" si="32"/>
        <v>-223.2370178695347</v>
      </c>
      <c r="P114" s="235">
        <f t="shared" si="33"/>
        <v>0</v>
      </c>
      <c r="Q114" s="235">
        <f t="shared" si="34"/>
        <v>362.10150745940484</v>
      </c>
      <c r="R114" s="235">
        <f t="shared" si="35"/>
        <v>0</v>
      </c>
      <c r="S114" s="235">
        <f t="shared" si="36"/>
        <v>362.10150745940484</v>
      </c>
      <c r="T114" s="235">
        <f t="shared" si="37"/>
        <v>0</v>
      </c>
      <c r="U114" s="235">
        <f t="shared" si="38"/>
        <v>-362.10150745940484</v>
      </c>
      <c r="V114" s="235">
        <f t="shared" si="39"/>
        <v>0</v>
      </c>
      <c r="W114" s="235">
        <f t="shared" si="40"/>
        <v>-362.10150745940484</v>
      </c>
      <c r="Y114" s="235">
        <f t="shared" si="41"/>
        <v>524.53826411225464</v>
      </c>
      <c r="Z114" s="235">
        <f t="shared" si="42"/>
        <v>277.23770808482607</v>
      </c>
      <c r="AA114" s="235">
        <f t="shared" si="43"/>
        <v>-524.53826411225464</v>
      </c>
      <c r="AB114" s="235">
        <f t="shared" si="44"/>
        <v>277.23770808482607</v>
      </c>
      <c r="AC114" s="235">
        <f t="shared" si="45"/>
        <v>-524.53826411225464</v>
      </c>
      <c r="AD114" s="235">
        <f t="shared" si="46"/>
        <v>-277.23770808482607</v>
      </c>
      <c r="AE114" s="235">
        <f t="shared" si="47"/>
        <v>524.53826411225464</v>
      </c>
      <c r="AF114" s="235">
        <f t="shared" si="48"/>
        <v>-277.23770808482607</v>
      </c>
    </row>
    <row r="115" spans="6:32" x14ac:dyDescent="0.25">
      <c r="F115">
        <f t="shared" si="49"/>
        <v>111</v>
      </c>
      <c r="G115" s="235">
        <f t="shared" si="25"/>
        <v>529.30679378600246</v>
      </c>
      <c r="H115" s="235">
        <f t="shared" si="26"/>
        <v>221.06377136090563</v>
      </c>
      <c r="I115" s="235">
        <f t="shared" si="27"/>
        <v>-529.30679378600246</v>
      </c>
      <c r="J115" s="235">
        <f t="shared" si="28"/>
        <v>221.06377136090563</v>
      </c>
      <c r="K115" s="235">
        <f t="shared" si="29"/>
        <v>-529.30679378600246</v>
      </c>
      <c r="L115" s="235">
        <f t="shared" si="30"/>
        <v>-221.06377136090563</v>
      </c>
      <c r="M115" s="235">
        <f t="shared" si="31"/>
        <v>529.30679378600246</v>
      </c>
      <c r="N115" s="235">
        <f t="shared" si="32"/>
        <v>-221.06377136090563</v>
      </c>
      <c r="P115" s="235">
        <f t="shared" si="33"/>
        <v>0</v>
      </c>
      <c r="Q115" s="235">
        <f t="shared" si="34"/>
        <v>362.10150745940484</v>
      </c>
      <c r="R115" s="235">
        <f t="shared" si="35"/>
        <v>0</v>
      </c>
      <c r="S115" s="235">
        <f t="shared" si="36"/>
        <v>362.10150745940484</v>
      </c>
      <c r="T115" s="235">
        <f t="shared" si="37"/>
        <v>0</v>
      </c>
      <c r="U115" s="235">
        <f t="shared" si="38"/>
        <v>-362.10150745940484</v>
      </c>
      <c r="V115" s="235">
        <f t="shared" si="39"/>
        <v>0</v>
      </c>
      <c r="W115" s="235">
        <f t="shared" si="40"/>
        <v>-362.10150745940484</v>
      </c>
      <c r="Y115" s="235">
        <f t="shared" si="41"/>
        <v>529.30679378600246</v>
      </c>
      <c r="Z115" s="235">
        <f t="shared" si="42"/>
        <v>275.44468828006029</v>
      </c>
      <c r="AA115" s="235">
        <f t="shared" si="43"/>
        <v>-529.30679378600246</v>
      </c>
      <c r="AB115" s="235">
        <f t="shared" si="44"/>
        <v>275.44468828006029</v>
      </c>
      <c r="AC115" s="235">
        <f t="shared" si="45"/>
        <v>-529.30679378600246</v>
      </c>
      <c r="AD115" s="235">
        <f t="shared" si="46"/>
        <v>-275.44468828006029</v>
      </c>
      <c r="AE115" s="235">
        <f t="shared" si="47"/>
        <v>529.30679378600246</v>
      </c>
      <c r="AF115" s="235">
        <f t="shared" si="48"/>
        <v>-275.44468828006029</v>
      </c>
    </row>
    <row r="116" spans="6:32" x14ac:dyDescent="0.25">
      <c r="F116">
        <f t="shared" si="49"/>
        <v>112</v>
      </c>
      <c r="G116" s="235">
        <f t="shared" si="25"/>
        <v>534.07532345975017</v>
      </c>
      <c r="H116" s="235">
        <f t="shared" si="26"/>
        <v>218.86990460358177</v>
      </c>
      <c r="I116" s="235">
        <f t="shared" si="27"/>
        <v>-534.07532345975017</v>
      </c>
      <c r="J116" s="235">
        <f t="shared" si="28"/>
        <v>218.86990460358177</v>
      </c>
      <c r="K116" s="235">
        <f t="shared" si="29"/>
        <v>-534.07532345975017</v>
      </c>
      <c r="L116" s="235">
        <f t="shared" si="30"/>
        <v>-218.86990460358177</v>
      </c>
      <c r="M116" s="235">
        <f t="shared" si="31"/>
        <v>534.07532345975017</v>
      </c>
      <c r="N116" s="235">
        <f t="shared" si="32"/>
        <v>-218.86990460358177</v>
      </c>
      <c r="P116" s="235">
        <f t="shared" si="33"/>
        <v>0</v>
      </c>
      <c r="Q116" s="235">
        <f t="shared" si="34"/>
        <v>362.10150745940484</v>
      </c>
      <c r="R116" s="235">
        <f t="shared" si="35"/>
        <v>0</v>
      </c>
      <c r="S116" s="235">
        <f t="shared" si="36"/>
        <v>362.10150745940484</v>
      </c>
      <c r="T116" s="235">
        <f t="shared" si="37"/>
        <v>0</v>
      </c>
      <c r="U116" s="235">
        <f t="shared" si="38"/>
        <v>-362.10150745940484</v>
      </c>
      <c r="V116" s="235">
        <f t="shared" si="39"/>
        <v>0</v>
      </c>
      <c r="W116" s="235">
        <f t="shared" si="40"/>
        <v>-362.10150745940484</v>
      </c>
      <c r="Y116" s="235">
        <f t="shared" si="41"/>
        <v>534.07532345975017</v>
      </c>
      <c r="Z116" s="235">
        <f t="shared" si="42"/>
        <v>273.62353290718158</v>
      </c>
      <c r="AA116" s="235">
        <f t="shared" si="43"/>
        <v>-534.07532345975017</v>
      </c>
      <c r="AB116" s="235">
        <f t="shared" si="44"/>
        <v>273.62353290718158</v>
      </c>
      <c r="AC116" s="235">
        <f t="shared" si="45"/>
        <v>-534.07532345975017</v>
      </c>
      <c r="AD116" s="235">
        <f t="shared" si="46"/>
        <v>-273.62353290718158</v>
      </c>
      <c r="AE116" s="235">
        <f t="shared" si="47"/>
        <v>534.07532345975017</v>
      </c>
      <c r="AF116" s="235">
        <f t="shared" si="48"/>
        <v>-273.62353290718158</v>
      </c>
    </row>
    <row r="117" spans="6:32" x14ac:dyDescent="0.25">
      <c r="F117">
        <f t="shared" si="49"/>
        <v>113</v>
      </c>
      <c r="G117" s="235">
        <f t="shared" si="25"/>
        <v>538.84385313349799</v>
      </c>
      <c r="H117" s="235">
        <f t="shared" si="26"/>
        <v>216.65509622327625</v>
      </c>
      <c r="I117" s="235">
        <f t="shared" si="27"/>
        <v>-538.84385313349799</v>
      </c>
      <c r="J117" s="235">
        <f t="shared" si="28"/>
        <v>216.65509622327625</v>
      </c>
      <c r="K117" s="235">
        <f t="shared" si="29"/>
        <v>-538.84385313349799</v>
      </c>
      <c r="L117" s="235">
        <f t="shared" si="30"/>
        <v>-216.65509622327625</v>
      </c>
      <c r="M117" s="235">
        <f t="shared" si="31"/>
        <v>538.84385313349799</v>
      </c>
      <c r="N117" s="235">
        <f t="shared" si="32"/>
        <v>-216.65509622327625</v>
      </c>
      <c r="P117" s="235">
        <f t="shared" si="33"/>
        <v>0</v>
      </c>
      <c r="Q117" s="235">
        <f t="shared" si="34"/>
        <v>362.10150745940484</v>
      </c>
      <c r="R117" s="235">
        <f t="shared" si="35"/>
        <v>0</v>
      </c>
      <c r="S117" s="235">
        <f t="shared" si="36"/>
        <v>362.10150745940484</v>
      </c>
      <c r="T117" s="235">
        <f t="shared" si="37"/>
        <v>0</v>
      </c>
      <c r="U117" s="235">
        <f t="shared" si="38"/>
        <v>-362.10150745940484</v>
      </c>
      <c r="V117" s="235">
        <f t="shared" si="39"/>
        <v>0</v>
      </c>
      <c r="W117" s="235">
        <f t="shared" si="40"/>
        <v>-362.10150745940484</v>
      </c>
      <c r="Y117" s="235">
        <f t="shared" si="41"/>
        <v>538.84385313349799</v>
      </c>
      <c r="Z117" s="235">
        <f t="shared" si="42"/>
        <v>271.77367635746253</v>
      </c>
      <c r="AA117" s="235">
        <f t="shared" si="43"/>
        <v>-538.84385313349799</v>
      </c>
      <c r="AB117" s="235">
        <f t="shared" si="44"/>
        <v>271.77367635746253</v>
      </c>
      <c r="AC117" s="235">
        <f t="shared" si="45"/>
        <v>-538.84385313349799</v>
      </c>
      <c r="AD117" s="235">
        <f t="shared" si="46"/>
        <v>-271.77367635746253</v>
      </c>
      <c r="AE117" s="235">
        <f t="shared" si="47"/>
        <v>538.84385313349799</v>
      </c>
      <c r="AF117" s="235">
        <f t="shared" si="48"/>
        <v>-271.77367635746253</v>
      </c>
    </row>
    <row r="118" spans="6:32" x14ac:dyDescent="0.25">
      <c r="F118">
        <f t="shared" si="49"/>
        <v>114</v>
      </c>
      <c r="G118" s="235">
        <f t="shared" si="25"/>
        <v>543.61238280724569</v>
      </c>
      <c r="H118" s="235">
        <f t="shared" si="26"/>
        <v>214.41901059942813</v>
      </c>
      <c r="I118" s="235">
        <f t="shared" si="27"/>
        <v>-543.61238280724569</v>
      </c>
      <c r="J118" s="235">
        <f t="shared" si="28"/>
        <v>214.41901059942813</v>
      </c>
      <c r="K118" s="235">
        <f t="shared" si="29"/>
        <v>-543.61238280724569</v>
      </c>
      <c r="L118" s="235">
        <f t="shared" si="30"/>
        <v>-214.41901059942813</v>
      </c>
      <c r="M118" s="235">
        <f t="shared" si="31"/>
        <v>543.61238280724569</v>
      </c>
      <c r="N118" s="235">
        <f t="shared" si="32"/>
        <v>-214.41901059942813</v>
      </c>
      <c r="P118" s="235">
        <f t="shared" si="33"/>
        <v>0</v>
      </c>
      <c r="Q118" s="235">
        <f t="shared" si="34"/>
        <v>362.10150745940484</v>
      </c>
      <c r="R118" s="235">
        <f t="shared" si="35"/>
        <v>0</v>
      </c>
      <c r="S118" s="235">
        <f t="shared" si="36"/>
        <v>362.10150745940484</v>
      </c>
      <c r="T118" s="235">
        <f t="shared" si="37"/>
        <v>0</v>
      </c>
      <c r="U118" s="235">
        <f t="shared" si="38"/>
        <v>-362.10150745940484</v>
      </c>
      <c r="V118" s="235">
        <f t="shared" si="39"/>
        <v>0</v>
      </c>
      <c r="W118" s="235">
        <f t="shared" si="40"/>
        <v>-362.10150745940484</v>
      </c>
      <c r="Y118" s="235">
        <f t="shared" si="41"/>
        <v>543.61238280724569</v>
      </c>
      <c r="Z118" s="235">
        <f t="shared" si="42"/>
        <v>269.89452847812549</v>
      </c>
      <c r="AA118" s="235">
        <f t="shared" si="43"/>
        <v>-543.61238280724569</v>
      </c>
      <c r="AB118" s="235">
        <f t="shared" si="44"/>
        <v>269.89452847812549</v>
      </c>
      <c r="AC118" s="235">
        <f t="shared" si="45"/>
        <v>-543.61238280724569</v>
      </c>
      <c r="AD118" s="235">
        <f t="shared" si="46"/>
        <v>-269.89452847812549</v>
      </c>
      <c r="AE118" s="235">
        <f t="shared" si="47"/>
        <v>543.61238280724569</v>
      </c>
      <c r="AF118" s="235">
        <f t="shared" si="48"/>
        <v>-269.89452847812549</v>
      </c>
    </row>
    <row r="119" spans="6:32" x14ac:dyDescent="0.25">
      <c r="F119">
        <f t="shared" si="49"/>
        <v>115</v>
      </c>
      <c r="G119" s="235">
        <f t="shared" si="25"/>
        <v>548.38091248099352</v>
      </c>
      <c r="H119" s="235">
        <f t="shared" si="26"/>
        <v>212.1612970723057</v>
      </c>
      <c r="I119" s="235">
        <f t="shared" si="27"/>
        <v>-548.38091248099352</v>
      </c>
      <c r="J119" s="235">
        <f t="shared" si="28"/>
        <v>212.1612970723057</v>
      </c>
      <c r="K119" s="235">
        <f t="shared" si="29"/>
        <v>-548.38091248099352</v>
      </c>
      <c r="L119" s="235">
        <f t="shared" si="30"/>
        <v>-212.1612970723057</v>
      </c>
      <c r="M119" s="235">
        <f t="shared" si="31"/>
        <v>548.38091248099352</v>
      </c>
      <c r="N119" s="235">
        <f t="shared" si="32"/>
        <v>-212.1612970723057</v>
      </c>
      <c r="P119" s="235">
        <f t="shared" si="33"/>
        <v>0</v>
      </c>
      <c r="Q119" s="235">
        <f t="shared" si="34"/>
        <v>362.10150745940484</v>
      </c>
      <c r="R119" s="235">
        <f t="shared" si="35"/>
        <v>0</v>
      </c>
      <c r="S119" s="235">
        <f t="shared" si="36"/>
        <v>362.10150745940484</v>
      </c>
      <c r="T119" s="235">
        <f t="shared" si="37"/>
        <v>0</v>
      </c>
      <c r="U119" s="235">
        <f t="shared" si="38"/>
        <v>-362.10150745940484</v>
      </c>
      <c r="V119" s="235">
        <f t="shared" si="39"/>
        <v>0</v>
      </c>
      <c r="W119" s="235">
        <f t="shared" si="40"/>
        <v>-362.10150745940484</v>
      </c>
      <c r="Y119" s="235">
        <f t="shared" si="41"/>
        <v>548.38091248099352</v>
      </c>
      <c r="Z119" s="235">
        <f t="shared" si="42"/>
        <v>267.98547308640451</v>
      </c>
      <c r="AA119" s="235">
        <f t="shared" si="43"/>
        <v>-548.38091248099352</v>
      </c>
      <c r="AB119" s="235">
        <f t="shared" si="44"/>
        <v>267.98547308640451</v>
      </c>
      <c r="AC119" s="235">
        <f t="shared" si="45"/>
        <v>-548.38091248099352</v>
      </c>
      <c r="AD119" s="235">
        <f t="shared" si="46"/>
        <v>-267.98547308640451</v>
      </c>
      <c r="AE119" s="235">
        <f t="shared" si="47"/>
        <v>548.38091248099352</v>
      </c>
      <c r="AF119" s="235">
        <f t="shared" si="48"/>
        <v>-267.98547308640451</v>
      </c>
    </row>
    <row r="120" spans="6:32" x14ac:dyDescent="0.25">
      <c r="F120">
        <f t="shared" si="49"/>
        <v>116</v>
      </c>
      <c r="G120" s="235">
        <f t="shared" si="25"/>
        <v>553.14944215474122</v>
      </c>
      <c r="H120" s="235">
        <f t="shared" si="26"/>
        <v>209.88158908786636</v>
      </c>
      <c r="I120" s="235">
        <f t="shared" si="27"/>
        <v>-553.14944215474122</v>
      </c>
      <c r="J120" s="235">
        <f t="shared" si="28"/>
        <v>209.88158908786636</v>
      </c>
      <c r="K120" s="235">
        <f t="shared" si="29"/>
        <v>-553.14944215474122</v>
      </c>
      <c r="L120" s="235">
        <f t="shared" si="30"/>
        <v>-209.88158908786636</v>
      </c>
      <c r="M120" s="235">
        <f t="shared" si="31"/>
        <v>553.14944215474122</v>
      </c>
      <c r="N120" s="235">
        <f t="shared" si="32"/>
        <v>-209.88158908786636</v>
      </c>
      <c r="P120" s="235">
        <f t="shared" si="33"/>
        <v>0</v>
      </c>
      <c r="Q120" s="235">
        <f t="shared" si="34"/>
        <v>362.10150745940484</v>
      </c>
      <c r="R120" s="235">
        <f t="shared" si="35"/>
        <v>0</v>
      </c>
      <c r="S120" s="235">
        <f t="shared" si="36"/>
        <v>362.10150745940484</v>
      </c>
      <c r="T120" s="235">
        <f t="shared" si="37"/>
        <v>0</v>
      </c>
      <c r="U120" s="235">
        <f t="shared" si="38"/>
        <v>-362.10150745940484</v>
      </c>
      <c r="V120" s="235">
        <f t="shared" si="39"/>
        <v>0</v>
      </c>
      <c r="W120" s="235">
        <f t="shared" si="40"/>
        <v>-362.10150745940484</v>
      </c>
      <c r="Y120" s="235">
        <f t="shared" si="41"/>
        <v>553.14944215474122</v>
      </c>
      <c r="Z120" s="235">
        <f t="shared" si="42"/>
        <v>266.0458663644182</v>
      </c>
      <c r="AA120" s="235">
        <f t="shared" si="43"/>
        <v>-553.14944215474122</v>
      </c>
      <c r="AB120" s="235">
        <f t="shared" si="44"/>
        <v>266.0458663644182</v>
      </c>
      <c r="AC120" s="235">
        <f t="shared" si="45"/>
        <v>-553.14944215474122</v>
      </c>
      <c r="AD120" s="235">
        <f t="shared" si="46"/>
        <v>-266.0458663644182</v>
      </c>
      <c r="AE120" s="235">
        <f t="shared" si="47"/>
        <v>553.14944215474122</v>
      </c>
      <c r="AF120" s="235">
        <f t="shared" si="48"/>
        <v>-266.0458663644182</v>
      </c>
    </row>
    <row r="121" spans="6:32" x14ac:dyDescent="0.25">
      <c r="F121">
        <f t="shared" si="49"/>
        <v>117</v>
      </c>
      <c r="G121" s="235">
        <f t="shared" si="25"/>
        <v>557.91797182848904</v>
      </c>
      <c r="H121" s="235">
        <f t="shared" si="26"/>
        <v>207.57950327437874</v>
      </c>
      <c r="I121" s="235">
        <f t="shared" si="27"/>
        <v>-557.91797182848904</v>
      </c>
      <c r="J121" s="235">
        <f t="shared" si="28"/>
        <v>207.57950327437874</v>
      </c>
      <c r="K121" s="235">
        <f t="shared" si="29"/>
        <v>-557.91797182848904</v>
      </c>
      <c r="L121" s="235">
        <f t="shared" si="30"/>
        <v>-207.57950327437874</v>
      </c>
      <c r="M121" s="235">
        <f t="shared" si="31"/>
        <v>557.91797182848904</v>
      </c>
      <c r="N121" s="235">
        <f t="shared" si="32"/>
        <v>-207.57950327437874</v>
      </c>
      <c r="P121" s="235">
        <f t="shared" si="33"/>
        <v>0</v>
      </c>
      <c r="Q121" s="235">
        <f t="shared" si="34"/>
        <v>362.10150745940484</v>
      </c>
      <c r="R121" s="235">
        <f t="shared" si="35"/>
        <v>0</v>
      </c>
      <c r="S121" s="235">
        <f t="shared" si="36"/>
        <v>362.10150745940484</v>
      </c>
      <c r="T121" s="235">
        <f t="shared" si="37"/>
        <v>0</v>
      </c>
      <c r="U121" s="235">
        <f t="shared" si="38"/>
        <v>-362.10150745940484</v>
      </c>
      <c r="V121" s="235">
        <f t="shared" si="39"/>
        <v>0</v>
      </c>
      <c r="W121" s="235">
        <f t="shared" si="40"/>
        <v>-362.10150745940484</v>
      </c>
      <c r="Y121" s="235">
        <f t="shared" si="41"/>
        <v>557.91797182848904</v>
      </c>
      <c r="Z121" s="235">
        <f t="shared" si="42"/>
        <v>264.07503512293476</v>
      </c>
      <c r="AA121" s="235">
        <f t="shared" si="43"/>
        <v>-557.91797182848904</v>
      </c>
      <c r="AB121" s="235">
        <f t="shared" si="44"/>
        <v>264.07503512293476</v>
      </c>
      <c r="AC121" s="235">
        <f t="shared" si="45"/>
        <v>-557.91797182848904</v>
      </c>
      <c r="AD121" s="235">
        <f t="shared" si="46"/>
        <v>-264.07503512293476</v>
      </c>
      <c r="AE121" s="235">
        <f t="shared" si="47"/>
        <v>557.91797182848904</v>
      </c>
      <c r="AF121" s="235">
        <f t="shared" si="48"/>
        <v>-264.07503512293476</v>
      </c>
    </row>
    <row r="122" spans="6:32" x14ac:dyDescent="0.25">
      <c r="F122">
        <f t="shared" si="49"/>
        <v>118</v>
      </c>
      <c r="G122" s="235">
        <f t="shared" si="25"/>
        <v>562.68650150223675</v>
      </c>
      <c r="H122" s="235">
        <f t="shared" si="26"/>
        <v>205.25463844411235</v>
      </c>
      <c r="I122" s="235">
        <f t="shared" si="27"/>
        <v>-562.68650150223675</v>
      </c>
      <c r="J122" s="235">
        <f t="shared" si="28"/>
        <v>205.25463844411235</v>
      </c>
      <c r="K122" s="235">
        <f t="shared" si="29"/>
        <v>-562.68650150223675</v>
      </c>
      <c r="L122" s="235">
        <f t="shared" si="30"/>
        <v>-205.25463844411235</v>
      </c>
      <c r="M122" s="235">
        <f t="shared" si="31"/>
        <v>562.68650150223675</v>
      </c>
      <c r="N122" s="235">
        <f t="shared" si="32"/>
        <v>-205.25463844411235</v>
      </c>
      <c r="P122" s="235">
        <f t="shared" si="33"/>
        <v>0</v>
      </c>
      <c r="Q122" s="235">
        <f t="shared" si="34"/>
        <v>362.10150745940484</v>
      </c>
      <c r="R122" s="235">
        <f t="shared" si="35"/>
        <v>0</v>
      </c>
      <c r="S122" s="235">
        <f t="shared" si="36"/>
        <v>362.10150745940484</v>
      </c>
      <c r="T122" s="235">
        <f t="shared" si="37"/>
        <v>0</v>
      </c>
      <c r="U122" s="235">
        <f t="shared" si="38"/>
        <v>-362.10150745940484</v>
      </c>
      <c r="V122" s="235">
        <f t="shared" si="39"/>
        <v>0</v>
      </c>
      <c r="W122" s="235">
        <f t="shared" si="40"/>
        <v>-362.10150745940484</v>
      </c>
      <c r="Y122" s="235">
        <f t="shared" si="41"/>
        <v>562.68650150223675</v>
      </c>
      <c r="Z122" s="235">
        <f t="shared" si="42"/>
        <v>262.07227492067921</v>
      </c>
      <c r="AA122" s="235">
        <f t="shared" si="43"/>
        <v>-562.68650150223675</v>
      </c>
      <c r="AB122" s="235">
        <f t="shared" si="44"/>
        <v>262.07227492067921</v>
      </c>
      <c r="AC122" s="235">
        <f t="shared" si="45"/>
        <v>-562.68650150223675</v>
      </c>
      <c r="AD122" s="235">
        <f t="shared" si="46"/>
        <v>-262.07227492067921</v>
      </c>
      <c r="AE122" s="235">
        <f t="shared" si="47"/>
        <v>562.68650150223675</v>
      </c>
      <c r="AF122" s="235">
        <f t="shared" si="48"/>
        <v>-262.07227492067921</v>
      </c>
    </row>
    <row r="123" spans="6:32" x14ac:dyDescent="0.25">
      <c r="F123">
        <f t="shared" si="49"/>
        <v>119</v>
      </c>
      <c r="G123" s="235">
        <f t="shared" si="25"/>
        <v>567.45503117598457</v>
      </c>
      <c r="H123" s="235">
        <f t="shared" si="26"/>
        <v>202.90657451259185</v>
      </c>
      <c r="I123" s="235">
        <f t="shared" si="27"/>
        <v>-567.45503117598457</v>
      </c>
      <c r="J123" s="235">
        <f t="shared" si="28"/>
        <v>202.90657451259185</v>
      </c>
      <c r="K123" s="235">
        <f t="shared" si="29"/>
        <v>-567.45503117598457</v>
      </c>
      <c r="L123" s="235">
        <f t="shared" si="30"/>
        <v>-202.90657451259185</v>
      </c>
      <c r="M123" s="235">
        <f t="shared" si="31"/>
        <v>567.45503117598457</v>
      </c>
      <c r="N123" s="235">
        <f t="shared" si="32"/>
        <v>-202.90657451259185</v>
      </c>
      <c r="P123" s="235">
        <f t="shared" si="33"/>
        <v>0</v>
      </c>
      <c r="Q123" s="235">
        <f t="shared" si="34"/>
        <v>362.10150745940484</v>
      </c>
      <c r="R123" s="235">
        <f t="shared" si="35"/>
        <v>0</v>
      </c>
      <c r="S123" s="235">
        <f t="shared" si="36"/>
        <v>362.10150745940484</v>
      </c>
      <c r="T123" s="235">
        <f t="shared" si="37"/>
        <v>0</v>
      </c>
      <c r="U123" s="235">
        <f t="shared" si="38"/>
        <v>-362.10150745940484</v>
      </c>
      <c r="V123" s="235">
        <f t="shared" si="39"/>
        <v>0</v>
      </c>
      <c r="W123" s="235">
        <f t="shared" si="40"/>
        <v>-362.10150745940484</v>
      </c>
      <c r="Y123" s="235">
        <f t="shared" si="41"/>
        <v>567.45503117598457</v>
      </c>
      <c r="Z123" s="235">
        <f t="shared" si="42"/>
        <v>260.03684802419133</v>
      </c>
      <c r="AA123" s="235">
        <f t="shared" si="43"/>
        <v>-567.45503117598457</v>
      </c>
      <c r="AB123" s="235">
        <f t="shared" si="44"/>
        <v>260.03684802419133</v>
      </c>
      <c r="AC123" s="235">
        <f t="shared" si="45"/>
        <v>-567.45503117598457</v>
      </c>
      <c r="AD123" s="235">
        <f t="shared" si="46"/>
        <v>-260.03684802419133</v>
      </c>
      <c r="AE123" s="235">
        <f t="shared" si="47"/>
        <v>567.45503117598457</v>
      </c>
      <c r="AF123" s="235">
        <f t="shared" si="48"/>
        <v>-260.03684802419133</v>
      </c>
    </row>
    <row r="124" spans="6:32" x14ac:dyDescent="0.25">
      <c r="F124">
        <f t="shared" si="49"/>
        <v>120</v>
      </c>
      <c r="G124" s="235">
        <f t="shared" si="25"/>
        <v>572.22356084973228</v>
      </c>
      <c r="H124" s="235">
        <f t="shared" si="26"/>
        <v>200.53487132700238</v>
      </c>
      <c r="I124" s="235">
        <f t="shared" si="27"/>
        <v>-572.22356084973228</v>
      </c>
      <c r="J124" s="235">
        <f t="shared" si="28"/>
        <v>200.53487132700238</v>
      </c>
      <c r="K124" s="235">
        <f t="shared" si="29"/>
        <v>-572.22356084973228</v>
      </c>
      <c r="L124" s="235">
        <f t="shared" si="30"/>
        <v>-200.53487132700238</v>
      </c>
      <c r="M124" s="235">
        <f t="shared" si="31"/>
        <v>572.22356084973228</v>
      </c>
      <c r="N124" s="235">
        <f t="shared" si="32"/>
        <v>-200.53487132700238</v>
      </c>
      <c r="P124" s="235">
        <f t="shared" si="33"/>
        <v>0</v>
      </c>
      <c r="Q124" s="235">
        <f t="shared" si="34"/>
        <v>362.10150745940484</v>
      </c>
      <c r="R124" s="235">
        <f t="shared" si="35"/>
        <v>0</v>
      </c>
      <c r="S124" s="235">
        <f t="shared" si="36"/>
        <v>362.10150745940484</v>
      </c>
      <c r="T124" s="235">
        <f t="shared" si="37"/>
        <v>0</v>
      </c>
      <c r="U124" s="235">
        <f t="shared" si="38"/>
        <v>-362.10150745940484</v>
      </c>
      <c r="V124" s="235">
        <f t="shared" si="39"/>
        <v>0</v>
      </c>
      <c r="W124" s="235">
        <f t="shared" si="40"/>
        <v>-362.10150745940484</v>
      </c>
      <c r="Y124" s="235">
        <f t="shared" si="41"/>
        <v>572.22356084973228</v>
      </c>
      <c r="Z124" s="235">
        <f t="shared" si="42"/>
        <v>257.96798119136457</v>
      </c>
      <c r="AA124" s="235">
        <f t="shared" si="43"/>
        <v>-572.22356084973228</v>
      </c>
      <c r="AB124" s="235">
        <f t="shared" si="44"/>
        <v>257.96798119136457</v>
      </c>
      <c r="AC124" s="235">
        <f t="shared" si="45"/>
        <v>-572.22356084973228</v>
      </c>
      <c r="AD124" s="235">
        <f t="shared" si="46"/>
        <v>-257.96798119136457</v>
      </c>
      <c r="AE124" s="235">
        <f t="shared" si="47"/>
        <v>572.22356084973228</v>
      </c>
      <c r="AF124" s="235">
        <f t="shared" si="48"/>
        <v>-257.96798119136457</v>
      </c>
    </row>
    <row r="125" spans="6:32" x14ac:dyDescent="0.25">
      <c r="F125">
        <f t="shared" si="49"/>
        <v>121</v>
      </c>
      <c r="G125" s="235">
        <f t="shared" si="25"/>
        <v>576.9920905234801</v>
      </c>
      <c r="H125" s="235">
        <f t="shared" si="26"/>
        <v>198.13906739427907</v>
      </c>
      <c r="I125" s="235">
        <f t="shared" si="27"/>
        <v>-576.9920905234801</v>
      </c>
      <c r="J125" s="235">
        <f t="shared" si="28"/>
        <v>198.13906739427907</v>
      </c>
      <c r="K125" s="235">
        <f t="shared" si="29"/>
        <v>-576.9920905234801</v>
      </c>
      <c r="L125" s="235">
        <f t="shared" si="30"/>
        <v>-198.13906739427907</v>
      </c>
      <c r="M125" s="235">
        <f t="shared" si="31"/>
        <v>576.9920905234801</v>
      </c>
      <c r="N125" s="235">
        <f t="shared" si="32"/>
        <v>-198.13906739427907</v>
      </c>
      <c r="P125" s="235">
        <f t="shared" si="33"/>
        <v>0</v>
      </c>
      <c r="Q125" s="235">
        <f t="shared" si="34"/>
        <v>362.10150745940484</v>
      </c>
      <c r="R125" s="235">
        <f t="shared" si="35"/>
        <v>0</v>
      </c>
      <c r="S125" s="235">
        <f t="shared" si="36"/>
        <v>362.10150745940484</v>
      </c>
      <c r="T125" s="235">
        <f t="shared" si="37"/>
        <v>0</v>
      </c>
      <c r="U125" s="235">
        <f t="shared" si="38"/>
        <v>-362.10150745940484</v>
      </c>
      <c r="V125" s="235">
        <f t="shared" si="39"/>
        <v>0</v>
      </c>
      <c r="W125" s="235">
        <f t="shared" si="40"/>
        <v>-362.10150745940484</v>
      </c>
      <c r="Y125" s="235">
        <f t="shared" si="41"/>
        <v>576.9920905234801</v>
      </c>
      <c r="Z125" s="235">
        <f t="shared" si="42"/>
        <v>255.8648632596425</v>
      </c>
      <c r="AA125" s="235">
        <f t="shared" si="43"/>
        <v>-576.9920905234801</v>
      </c>
      <c r="AB125" s="235">
        <f t="shared" si="44"/>
        <v>255.8648632596425</v>
      </c>
      <c r="AC125" s="235">
        <f t="shared" si="45"/>
        <v>-576.9920905234801</v>
      </c>
      <c r="AD125" s="235">
        <f t="shared" si="46"/>
        <v>-255.8648632596425</v>
      </c>
      <c r="AE125" s="235">
        <f t="shared" si="47"/>
        <v>576.9920905234801</v>
      </c>
      <c r="AF125" s="235">
        <f t="shared" si="48"/>
        <v>-255.8648632596425</v>
      </c>
    </row>
    <row r="126" spans="6:32" x14ac:dyDescent="0.25">
      <c r="F126">
        <f t="shared" si="49"/>
        <v>122</v>
      </c>
      <c r="G126" s="235">
        <f t="shared" si="25"/>
        <v>581.76062019722781</v>
      </c>
      <c r="H126" s="235">
        <f t="shared" si="26"/>
        <v>195.71867849821601</v>
      </c>
      <c r="I126" s="235">
        <f t="shared" si="27"/>
        <v>-581.76062019722781</v>
      </c>
      <c r="J126" s="235">
        <f t="shared" si="28"/>
        <v>195.71867849821601</v>
      </c>
      <c r="K126" s="235">
        <f t="shared" si="29"/>
        <v>-581.76062019722781</v>
      </c>
      <c r="L126" s="235">
        <f t="shared" si="30"/>
        <v>-195.71867849821601</v>
      </c>
      <c r="M126" s="235">
        <f t="shared" si="31"/>
        <v>581.76062019722781</v>
      </c>
      <c r="N126" s="235">
        <f t="shared" si="32"/>
        <v>-195.71867849821601</v>
      </c>
      <c r="P126" s="235">
        <f t="shared" si="33"/>
        <v>0</v>
      </c>
      <c r="Q126" s="235">
        <f t="shared" si="34"/>
        <v>362.10150745940484</v>
      </c>
      <c r="R126" s="235">
        <f t="shared" si="35"/>
        <v>0</v>
      </c>
      <c r="S126" s="235">
        <f t="shared" si="36"/>
        <v>362.10150745940484</v>
      </c>
      <c r="T126" s="235">
        <f t="shared" si="37"/>
        <v>0</v>
      </c>
      <c r="U126" s="235">
        <f t="shared" si="38"/>
        <v>-362.10150745940484</v>
      </c>
      <c r="V126" s="235">
        <f t="shared" si="39"/>
        <v>0</v>
      </c>
      <c r="W126" s="235">
        <f t="shared" si="40"/>
        <v>-362.10150745940484</v>
      </c>
      <c r="Y126" s="235">
        <f t="shared" si="41"/>
        <v>581.76062019722781</v>
      </c>
      <c r="Z126" s="235">
        <f t="shared" si="42"/>
        <v>253.7266425173722</v>
      </c>
      <c r="AA126" s="235">
        <f t="shared" si="43"/>
        <v>-581.76062019722781</v>
      </c>
      <c r="AB126" s="235">
        <f t="shared" si="44"/>
        <v>253.7266425173722</v>
      </c>
      <c r="AC126" s="235">
        <f t="shared" si="45"/>
        <v>-581.76062019722781</v>
      </c>
      <c r="AD126" s="235">
        <f t="shared" si="46"/>
        <v>-253.7266425173722</v>
      </c>
      <c r="AE126" s="235">
        <f t="shared" si="47"/>
        <v>581.76062019722781</v>
      </c>
      <c r="AF126" s="235">
        <f t="shared" si="48"/>
        <v>-253.7266425173722</v>
      </c>
    </row>
    <row r="127" spans="6:32" x14ac:dyDescent="0.25">
      <c r="F127">
        <f t="shared" si="49"/>
        <v>123</v>
      </c>
      <c r="G127" s="235">
        <f t="shared" si="25"/>
        <v>586.52914987097563</v>
      </c>
      <c r="H127" s="235">
        <f t="shared" si="26"/>
        <v>193.27319619354461</v>
      </c>
      <c r="I127" s="235">
        <f t="shared" si="27"/>
        <v>-586.52914987097563</v>
      </c>
      <c r="J127" s="235">
        <f t="shared" si="28"/>
        <v>193.27319619354461</v>
      </c>
      <c r="K127" s="235">
        <f t="shared" si="29"/>
        <v>-586.52914987097563</v>
      </c>
      <c r="L127" s="235">
        <f t="shared" si="30"/>
        <v>-193.27319619354461</v>
      </c>
      <c r="M127" s="235">
        <f t="shared" si="31"/>
        <v>586.52914987097563</v>
      </c>
      <c r="N127" s="235">
        <f t="shared" si="32"/>
        <v>-193.27319619354461</v>
      </c>
      <c r="P127" s="235">
        <f t="shared" si="33"/>
        <v>0</v>
      </c>
      <c r="Q127" s="235">
        <f t="shared" si="34"/>
        <v>362.10150745940484</v>
      </c>
      <c r="R127" s="235">
        <f t="shared" si="35"/>
        <v>0</v>
      </c>
      <c r="S127" s="235">
        <f t="shared" si="36"/>
        <v>362.10150745940484</v>
      </c>
      <c r="T127" s="235">
        <f t="shared" si="37"/>
        <v>0</v>
      </c>
      <c r="U127" s="235">
        <f t="shared" si="38"/>
        <v>-362.10150745940484</v>
      </c>
      <c r="V127" s="235">
        <f t="shared" si="39"/>
        <v>0</v>
      </c>
      <c r="W127" s="235">
        <f t="shared" si="40"/>
        <v>-362.10150745940484</v>
      </c>
      <c r="Y127" s="235">
        <f t="shared" si="41"/>
        <v>586.52914987097563</v>
      </c>
      <c r="Z127" s="235">
        <f t="shared" si="42"/>
        <v>251.55242383395293</v>
      </c>
      <c r="AA127" s="235">
        <f t="shared" si="43"/>
        <v>-586.52914987097563</v>
      </c>
      <c r="AB127" s="235">
        <f t="shared" si="44"/>
        <v>251.55242383395293</v>
      </c>
      <c r="AC127" s="235">
        <f t="shared" si="45"/>
        <v>-586.52914987097563</v>
      </c>
      <c r="AD127" s="235">
        <f t="shared" si="46"/>
        <v>-251.55242383395293</v>
      </c>
      <c r="AE127" s="235">
        <f t="shared" si="47"/>
        <v>586.52914987097563</v>
      </c>
      <c r="AF127" s="235">
        <f t="shared" si="48"/>
        <v>-251.55242383395293</v>
      </c>
    </row>
    <row r="128" spans="6:32" x14ac:dyDescent="0.25">
      <c r="F128">
        <f t="shared" si="49"/>
        <v>124</v>
      </c>
      <c r="G128" s="235">
        <f t="shared" si="25"/>
        <v>591.29767954472334</v>
      </c>
      <c r="H128" s="235">
        <f t="shared" si="26"/>
        <v>190.80208616334096</v>
      </c>
      <c r="I128" s="235">
        <f t="shared" si="27"/>
        <v>-591.29767954472334</v>
      </c>
      <c r="J128" s="235">
        <f t="shared" si="28"/>
        <v>190.80208616334096</v>
      </c>
      <c r="K128" s="235">
        <f t="shared" si="29"/>
        <v>-591.29767954472334</v>
      </c>
      <c r="L128" s="235">
        <f t="shared" si="30"/>
        <v>-190.80208616334096</v>
      </c>
      <c r="M128" s="235">
        <f t="shared" si="31"/>
        <v>591.29767954472334</v>
      </c>
      <c r="N128" s="235">
        <f t="shared" si="32"/>
        <v>-190.80208616334096</v>
      </c>
      <c r="P128" s="235">
        <f t="shared" si="33"/>
        <v>0</v>
      </c>
      <c r="Q128" s="235">
        <f t="shared" si="34"/>
        <v>362.10150745940484</v>
      </c>
      <c r="R128" s="235">
        <f t="shared" si="35"/>
        <v>0</v>
      </c>
      <c r="S128" s="235">
        <f t="shared" si="36"/>
        <v>362.10150745940484</v>
      </c>
      <c r="T128" s="235">
        <f t="shared" si="37"/>
        <v>0</v>
      </c>
      <c r="U128" s="235">
        <f t="shared" si="38"/>
        <v>-362.10150745940484</v>
      </c>
      <c r="V128" s="235">
        <f t="shared" si="39"/>
        <v>0</v>
      </c>
      <c r="W128" s="235">
        <f t="shared" si="40"/>
        <v>-362.10150745940484</v>
      </c>
      <c r="Y128" s="235">
        <f t="shared" si="41"/>
        <v>591.29767954472334</v>
      </c>
      <c r="Z128" s="235">
        <f t="shared" si="42"/>
        <v>249.34126552111371</v>
      </c>
      <c r="AA128" s="235">
        <f t="shared" si="43"/>
        <v>-591.29767954472334</v>
      </c>
      <c r="AB128" s="235">
        <f t="shared" si="44"/>
        <v>249.34126552111371</v>
      </c>
      <c r="AC128" s="235">
        <f t="shared" si="45"/>
        <v>-591.29767954472334</v>
      </c>
      <c r="AD128" s="235">
        <f t="shared" si="46"/>
        <v>-249.34126552111371</v>
      </c>
      <c r="AE128" s="235">
        <f t="shared" si="47"/>
        <v>591.29767954472334</v>
      </c>
      <c r="AF128" s="235">
        <f t="shared" si="48"/>
        <v>-249.34126552111371</v>
      </c>
    </row>
    <row r="129" spans="6:32" x14ac:dyDescent="0.25">
      <c r="F129">
        <f t="shared" si="49"/>
        <v>125</v>
      </c>
      <c r="G129" s="235">
        <f t="shared" si="25"/>
        <v>596.06620921847116</v>
      </c>
      <c r="H129" s="235">
        <f t="shared" si="26"/>
        <v>188.30478642427462</v>
      </c>
      <c r="I129" s="235">
        <f t="shared" si="27"/>
        <v>-596.06620921847116</v>
      </c>
      <c r="J129" s="235">
        <f t="shared" si="28"/>
        <v>188.30478642427462</v>
      </c>
      <c r="K129" s="235">
        <f t="shared" si="29"/>
        <v>-596.06620921847116</v>
      </c>
      <c r="L129" s="235">
        <f t="shared" si="30"/>
        <v>-188.30478642427462</v>
      </c>
      <c r="M129" s="235">
        <f t="shared" si="31"/>
        <v>596.06620921847116</v>
      </c>
      <c r="N129" s="235">
        <f t="shared" si="32"/>
        <v>-188.30478642427462</v>
      </c>
      <c r="P129" s="235">
        <f t="shared" si="33"/>
        <v>0</v>
      </c>
      <c r="Q129" s="235">
        <f t="shared" si="34"/>
        <v>362.10150745940484</v>
      </c>
      <c r="R129" s="235">
        <f t="shared" si="35"/>
        <v>0</v>
      </c>
      <c r="S129" s="235">
        <f t="shared" si="36"/>
        <v>362.10150745940484</v>
      </c>
      <c r="T129" s="235">
        <f t="shared" si="37"/>
        <v>0</v>
      </c>
      <c r="U129" s="235">
        <f t="shared" si="38"/>
        <v>-362.10150745940484</v>
      </c>
      <c r="V129" s="235">
        <f t="shared" si="39"/>
        <v>0</v>
      </c>
      <c r="W129" s="235">
        <f t="shared" si="40"/>
        <v>-362.10150745940484</v>
      </c>
      <c r="Y129" s="235">
        <f t="shared" si="41"/>
        <v>596.06620921847116</v>
      </c>
      <c r="Z129" s="235">
        <f t="shared" si="42"/>
        <v>247.09217589381464</v>
      </c>
      <c r="AA129" s="235">
        <f t="shared" si="43"/>
        <v>-596.06620921847116</v>
      </c>
      <c r="AB129" s="235">
        <f t="shared" si="44"/>
        <v>247.09217589381464</v>
      </c>
      <c r="AC129" s="235">
        <f t="shared" si="45"/>
        <v>-596.06620921847116</v>
      </c>
      <c r="AD129" s="235">
        <f t="shared" si="46"/>
        <v>-247.09217589381464</v>
      </c>
      <c r="AE129" s="235">
        <f t="shared" si="47"/>
        <v>596.06620921847116</v>
      </c>
      <c r="AF129" s="235">
        <f t="shared" si="48"/>
        <v>-247.09217589381464</v>
      </c>
    </row>
    <row r="130" spans="6:32" x14ac:dyDescent="0.25">
      <c r="F130">
        <f t="shared" si="49"/>
        <v>126</v>
      </c>
      <c r="G130" s="235">
        <f t="shared" si="25"/>
        <v>600.83473889221887</v>
      </c>
      <c r="H130" s="235">
        <f t="shared" si="26"/>
        <v>185.78070536207892</v>
      </c>
      <c r="I130" s="235">
        <f t="shared" si="27"/>
        <v>-600.83473889221887</v>
      </c>
      <c r="J130" s="235">
        <f t="shared" si="28"/>
        <v>185.78070536207892</v>
      </c>
      <c r="K130" s="235">
        <f t="shared" si="29"/>
        <v>-600.83473889221887</v>
      </c>
      <c r="L130" s="235">
        <f t="shared" si="30"/>
        <v>-185.78070536207892</v>
      </c>
      <c r="M130" s="235">
        <f t="shared" si="31"/>
        <v>600.83473889221887</v>
      </c>
      <c r="N130" s="235">
        <f t="shared" si="32"/>
        <v>-185.78070536207892</v>
      </c>
      <c r="P130" s="235">
        <f t="shared" si="33"/>
        <v>0</v>
      </c>
      <c r="Q130" s="235">
        <f t="shared" si="34"/>
        <v>362.10150745940484</v>
      </c>
      <c r="R130" s="235">
        <f t="shared" si="35"/>
        <v>0</v>
      </c>
      <c r="S130" s="235">
        <f t="shared" si="36"/>
        <v>362.10150745940484</v>
      </c>
      <c r="T130" s="235">
        <f t="shared" si="37"/>
        <v>0</v>
      </c>
      <c r="U130" s="235">
        <f t="shared" si="38"/>
        <v>-362.10150745940484</v>
      </c>
      <c r="V130" s="235">
        <f t="shared" si="39"/>
        <v>0</v>
      </c>
      <c r="W130" s="235">
        <f t="shared" si="40"/>
        <v>-362.10150745940484</v>
      </c>
      <c r="Y130" s="235">
        <f t="shared" si="41"/>
        <v>600.83473889221887</v>
      </c>
      <c r="Z130" s="235">
        <f t="shared" si="42"/>
        <v>244.80410949480535</v>
      </c>
      <c r="AA130" s="235">
        <f t="shared" si="43"/>
        <v>-600.83473889221887</v>
      </c>
      <c r="AB130" s="235">
        <f t="shared" si="44"/>
        <v>244.80410949480535</v>
      </c>
      <c r="AC130" s="235">
        <f t="shared" si="45"/>
        <v>-600.83473889221887</v>
      </c>
      <c r="AD130" s="235">
        <f t="shared" si="46"/>
        <v>-244.80410949480535</v>
      </c>
      <c r="AE130" s="235">
        <f t="shared" si="47"/>
        <v>600.83473889221887</v>
      </c>
      <c r="AF130" s="235">
        <f t="shared" si="48"/>
        <v>-244.80410949480535</v>
      </c>
    </row>
    <row r="131" spans="6:32" x14ac:dyDescent="0.25">
      <c r="F131">
        <f t="shared" si="49"/>
        <v>127</v>
      </c>
      <c r="G131" s="235">
        <f t="shared" si="25"/>
        <v>605.60326856596669</v>
      </c>
      <c r="H131" s="235">
        <f t="shared" si="26"/>
        <v>183.22921957713149</v>
      </c>
      <c r="I131" s="235">
        <f t="shared" si="27"/>
        <v>-605.60326856596669</v>
      </c>
      <c r="J131" s="235">
        <f t="shared" si="28"/>
        <v>183.22921957713149</v>
      </c>
      <c r="K131" s="235">
        <f t="shared" si="29"/>
        <v>-605.60326856596669</v>
      </c>
      <c r="L131" s="235">
        <f t="shared" si="30"/>
        <v>-183.22921957713149</v>
      </c>
      <c r="M131" s="235">
        <f t="shared" si="31"/>
        <v>605.60326856596669</v>
      </c>
      <c r="N131" s="235">
        <f t="shared" si="32"/>
        <v>-183.22921957713149</v>
      </c>
      <c r="P131" s="235">
        <f t="shared" si="33"/>
        <v>0</v>
      </c>
      <c r="Q131" s="235">
        <f t="shared" si="34"/>
        <v>362.10150745940484</v>
      </c>
      <c r="R131" s="235">
        <f t="shared" si="35"/>
        <v>0</v>
      </c>
      <c r="S131" s="235">
        <f t="shared" si="36"/>
        <v>362.10150745940484</v>
      </c>
      <c r="T131" s="235">
        <f t="shared" si="37"/>
        <v>0</v>
      </c>
      <c r="U131" s="235">
        <f t="shared" si="38"/>
        <v>-362.10150745940484</v>
      </c>
      <c r="V131" s="235">
        <f t="shared" si="39"/>
        <v>0</v>
      </c>
      <c r="W131" s="235">
        <f t="shared" si="40"/>
        <v>-362.10150745940484</v>
      </c>
      <c r="Y131" s="235">
        <f t="shared" si="41"/>
        <v>605.60326856596669</v>
      </c>
      <c r="Z131" s="235">
        <f t="shared" si="42"/>
        <v>242.47596294165933</v>
      </c>
      <c r="AA131" s="235">
        <f t="shared" si="43"/>
        <v>-605.60326856596669</v>
      </c>
      <c r="AB131" s="235">
        <f t="shared" si="44"/>
        <v>242.47596294165933</v>
      </c>
      <c r="AC131" s="235">
        <f t="shared" si="45"/>
        <v>-605.60326856596669</v>
      </c>
      <c r="AD131" s="235">
        <f t="shared" si="46"/>
        <v>-242.47596294165933</v>
      </c>
      <c r="AE131" s="235">
        <f t="shared" si="47"/>
        <v>605.60326856596669</v>
      </c>
      <c r="AF131" s="235">
        <f t="shared" si="48"/>
        <v>-242.47596294165933</v>
      </c>
    </row>
    <row r="132" spans="6:32" x14ac:dyDescent="0.25">
      <c r="F132">
        <f t="shared" si="49"/>
        <v>128</v>
      </c>
      <c r="G132" s="235">
        <f t="shared" si="25"/>
        <v>610.37179823971439</v>
      </c>
      <c r="H132" s="235">
        <f t="shared" si="26"/>
        <v>180.64967151713734</v>
      </c>
      <c r="I132" s="235">
        <f t="shared" si="27"/>
        <v>-610.37179823971439</v>
      </c>
      <c r="J132" s="235">
        <f t="shared" si="28"/>
        <v>180.64967151713734</v>
      </c>
      <c r="K132" s="235">
        <f t="shared" si="29"/>
        <v>-610.37179823971439</v>
      </c>
      <c r="L132" s="235">
        <f t="shared" si="30"/>
        <v>-180.64967151713734</v>
      </c>
      <c r="M132" s="235">
        <f t="shared" si="31"/>
        <v>610.37179823971439</v>
      </c>
      <c r="N132" s="235">
        <f t="shared" si="32"/>
        <v>-180.64967151713734</v>
      </c>
      <c r="P132" s="235">
        <f t="shared" si="33"/>
        <v>0</v>
      </c>
      <c r="Q132" s="235">
        <f t="shared" si="34"/>
        <v>362.10150745940484</v>
      </c>
      <c r="R132" s="235">
        <f t="shared" si="35"/>
        <v>0</v>
      </c>
      <c r="S132" s="235">
        <f t="shared" si="36"/>
        <v>362.10150745940484</v>
      </c>
      <c r="T132" s="235">
        <f t="shared" si="37"/>
        <v>0</v>
      </c>
      <c r="U132" s="235">
        <f t="shared" si="38"/>
        <v>-362.10150745940484</v>
      </c>
      <c r="V132" s="235">
        <f t="shared" si="39"/>
        <v>0</v>
      </c>
      <c r="W132" s="235">
        <f t="shared" si="40"/>
        <v>-362.10150745940484</v>
      </c>
      <c r="Y132" s="235">
        <f t="shared" si="41"/>
        <v>610.37179823971439</v>
      </c>
      <c r="Z132" s="235">
        <f t="shared" si="42"/>
        <v>240.10657034900308</v>
      </c>
      <c r="AA132" s="235">
        <f t="shared" si="43"/>
        <v>-610.37179823971439</v>
      </c>
      <c r="AB132" s="235">
        <f t="shared" si="44"/>
        <v>240.10657034900308</v>
      </c>
      <c r="AC132" s="235">
        <f t="shared" si="45"/>
        <v>-610.37179823971439</v>
      </c>
      <c r="AD132" s="235">
        <f t="shared" si="46"/>
        <v>-240.10657034900308</v>
      </c>
      <c r="AE132" s="235">
        <f t="shared" si="47"/>
        <v>610.37179823971439</v>
      </c>
      <c r="AF132" s="235">
        <f t="shared" si="48"/>
        <v>-240.10657034900308</v>
      </c>
    </row>
    <row r="133" spans="6:32" x14ac:dyDescent="0.25">
      <c r="F133">
        <f t="shared" si="49"/>
        <v>129</v>
      </c>
      <c r="G133" s="235">
        <f t="shared" ref="G133:G175" si="50">IF($B$8="G",F133/$F$175*$B$6,0)</f>
        <v>615.14032791346222</v>
      </c>
      <c r="H133" s="235">
        <f t="shared" ref="H133:H175" si="51">$C$5*(1-(G133/$B$6)^1.5)^(1/1.5)</f>
        <v>178.04136687050323</v>
      </c>
      <c r="I133" s="235">
        <f t="shared" ref="I133:I175" si="52">-G133</f>
        <v>-615.14032791346222</v>
      </c>
      <c r="J133" s="235">
        <f t="shared" ref="J133:J175" si="53">H133</f>
        <v>178.04136687050323</v>
      </c>
      <c r="K133" s="235">
        <f t="shared" ref="K133:K175" si="54">-G133</f>
        <v>-615.14032791346222</v>
      </c>
      <c r="L133" s="235">
        <f t="shared" ref="L133:L175" si="55">-H133</f>
        <v>-178.04136687050323</v>
      </c>
      <c r="M133" s="235">
        <f t="shared" ref="M133:M175" si="56">G133</f>
        <v>615.14032791346222</v>
      </c>
      <c r="N133" s="235">
        <f t="shared" ref="N133:N175" si="57">-H133</f>
        <v>-178.04136687050323</v>
      </c>
      <c r="P133" s="235">
        <f t="shared" ref="P133:P175" si="58">IF($B$8="N",F133/$F$175*$B$6,0)</f>
        <v>0</v>
      </c>
      <c r="Q133" s="235">
        <f t="shared" ref="Q133:Q175" si="59">$C$5*(1-(P133/$B$6)^1)^(1)</f>
        <v>362.10150745940484</v>
      </c>
      <c r="R133" s="235">
        <f t="shared" ref="R133:R175" si="60">-P133</f>
        <v>0</v>
      </c>
      <c r="S133" s="235">
        <f t="shared" ref="S133:S175" si="61">Q133</f>
        <v>362.10150745940484</v>
      </c>
      <c r="T133" s="235">
        <f t="shared" ref="T133:T175" si="62">-P133</f>
        <v>0</v>
      </c>
      <c r="U133" s="235">
        <f t="shared" ref="U133:U175" si="63">-Q133</f>
        <v>-362.10150745940484</v>
      </c>
      <c r="V133" s="235">
        <f t="shared" ref="V133:V175" si="64">P133</f>
        <v>0</v>
      </c>
      <c r="W133" s="235">
        <f t="shared" ref="W133:W175" si="65">-Q133</f>
        <v>-362.10150745940484</v>
      </c>
      <c r="Y133" s="235">
        <f t="shared" ref="Y133:Y175" si="66">F133/$F$175*$B$6</f>
        <v>615.14032791346222</v>
      </c>
      <c r="Z133" s="235">
        <f t="shared" ref="Z133:Z175" si="67">$C$5*(1-(Y133/$B$6)^2)^(1/2)</f>
        <v>237.6946982714845</v>
      </c>
      <c r="AA133" s="235">
        <f t="shared" ref="AA133:AA175" si="68">-Y133</f>
        <v>-615.14032791346222</v>
      </c>
      <c r="AB133" s="235">
        <f t="shared" ref="AB133:AB175" si="69">Z133</f>
        <v>237.6946982714845</v>
      </c>
      <c r="AC133" s="235">
        <f t="shared" ref="AC133:AC175" si="70">-Y133</f>
        <v>-615.14032791346222</v>
      </c>
      <c r="AD133" s="235">
        <f t="shared" ref="AD133:AD175" si="71">-Z133</f>
        <v>-237.6946982714845</v>
      </c>
      <c r="AE133" s="235">
        <f t="shared" ref="AE133:AE175" si="72">Y133</f>
        <v>615.14032791346222</v>
      </c>
      <c r="AF133" s="235">
        <f t="shared" ref="AF133:AF175" si="73">-Z133</f>
        <v>-237.6946982714845</v>
      </c>
    </row>
    <row r="134" spans="6:32" x14ac:dyDescent="0.25">
      <c r="F134">
        <f t="shared" ref="F134:F175" si="74">F133+1</f>
        <v>130</v>
      </c>
      <c r="G134" s="235">
        <f t="shared" si="50"/>
        <v>619.90885758720992</v>
      </c>
      <c r="H134" s="235">
        <f t="shared" si="51"/>
        <v>175.40357169000404</v>
      </c>
      <c r="I134" s="235">
        <f t="shared" si="52"/>
        <v>-619.90885758720992</v>
      </c>
      <c r="J134" s="235">
        <f t="shared" si="53"/>
        <v>175.40357169000404</v>
      </c>
      <c r="K134" s="235">
        <f t="shared" si="54"/>
        <v>-619.90885758720992</v>
      </c>
      <c r="L134" s="235">
        <f t="shared" si="55"/>
        <v>-175.40357169000404</v>
      </c>
      <c r="M134" s="235">
        <f t="shared" si="56"/>
        <v>619.90885758720992</v>
      </c>
      <c r="N134" s="235">
        <f t="shared" si="57"/>
        <v>-175.40357169000404</v>
      </c>
      <c r="P134" s="235">
        <f t="shared" si="58"/>
        <v>0</v>
      </c>
      <c r="Q134" s="235">
        <f t="shared" si="59"/>
        <v>362.10150745940484</v>
      </c>
      <c r="R134" s="235">
        <f t="shared" si="60"/>
        <v>0</v>
      </c>
      <c r="S134" s="235">
        <f t="shared" si="61"/>
        <v>362.10150745940484</v>
      </c>
      <c r="T134" s="235">
        <f t="shared" si="62"/>
        <v>0</v>
      </c>
      <c r="U134" s="235">
        <f t="shared" si="63"/>
        <v>-362.10150745940484</v>
      </c>
      <c r="V134" s="235">
        <f t="shared" si="64"/>
        <v>0</v>
      </c>
      <c r="W134" s="235">
        <f t="shared" si="65"/>
        <v>-362.10150745940484</v>
      </c>
      <c r="Y134" s="235">
        <f t="shared" si="66"/>
        <v>619.90885758720992</v>
      </c>
      <c r="Z134" s="235">
        <f t="shared" si="67"/>
        <v>235.23904010456869</v>
      </c>
      <c r="AA134" s="235">
        <f t="shared" si="68"/>
        <v>-619.90885758720992</v>
      </c>
      <c r="AB134" s="235">
        <f t="shared" si="69"/>
        <v>235.23904010456869</v>
      </c>
      <c r="AC134" s="235">
        <f t="shared" si="70"/>
        <v>-619.90885758720992</v>
      </c>
      <c r="AD134" s="235">
        <f t="shared" si="71"/>
        <v>-235.23904010456869</v>
      </c>
      <c r="AE134" s="235">
        <f t="shared" si="72"/>
        <v>619.90885758720992</v>
      </c>
      <c r="AF134" s="235">
        <f t="shared" si="73"/>
        <v>-235.23904010456869</v>
      </c>
    </row>
    <row r="135" spans="6:32" x14ac:dyDescent="0.25">
      <c r="F135">
        <f t="shared" si="74"/>
        <v>131</v>
      </c>
      <c r="G135" s="235">
        <f t="shared" si="50"/>
        <v>624.67738726095774</v>
      </c>
      <c r="H135" s="235">
        <f t="shared" si="51"/>
        <v>172.73550921162848</v>
      </c>
      <c r="I135" s="235">
        <f t="shared" si="52"/>
        <v>-624.67738726095774</v>
      </c>
      <c r="J135" s="235">
        <f t="shared" si="53"/>
        <v>172.73550921162848</v>
      </c>
      <c r="K135" s="235">
        <f t="shared" si="54"/>
        <v>-624.67738726095774</v>
      </c>
      <c r="L135" s="235">
        <f t="shared" si="55"/>
        <v>-172.73550921162848</v>
      </c>
      <c r="M135" s="235">
        <f t="shared" si="56"/>
        <v>624.67738726095774</v>
      </c>
      <c r="N135" s="235">
        <f t="shared" si="57"/>
        <v>-172.73550921162848</v>
      </c>
      <c r="P135" s="235">
        <f t="shared" si="58"/>
        <v>0</v>
      </c>
      <c r="Q135" s="235">
        <f t="shared" si="59"/>
        <v>362.10150745940484</v>
      </c>
      <c r="R135" s="235">
        <f t="shared" si="60"/>
        <v>0</v>
      </c>
      <c r="S135" s="235">
        <f t="shared" si="61"/>
        <v>362.10150745940484</v>
      </c>
      <c r="T135" s="235">
        <f t="shared" si="62"/>
        <v>0</v>
      </c>
      <c r="U135" s="235">
        <f t="shared" si="63"/>
        <v>-362.10150745940484</v>
      </c>
      <c r="V135" s="235">
        <f t="shared" si="64"/>
        <v>0</v>
      </c>
      <c r="W135" s="235">
        <f t="shared" si="65"/>
        <v>-362.10150745940484</v>
      </c>
      <c r="Y135" s="235">
        <f t="shared" si="66"/>
        <v>624.67738726095774</v>
      </c>
      <c r="Z135" s="235">
        <f t="shared" si="67"/>
        <v>232.7382098702341</v>
      </c>
      <c r="AA135" s="235">
        <f t="shared" si="68"/>
        <v>-624.67738726095774</v>
      </c>
      <c r="AB135" s="235">
        <f t="shared" si="69"/>
        <v>232.7382098702341</v>
      </c>
      <c r="AC135" s="235">
        <f t="shared" si="70"/>
        <v>-624.67738726095774</v>
      </c>
      <c r="AD135" s="235">
        <f t="shared" si="71"/>
        <v>-232.7382098702341</v>
      </c>
      <c r="AE135" s="235">
        <f t="shared" si="72"/>
        <v>624.67738726095774</v>
      </c>
      <c r="AF135" s="235">
        <f t="shared" si="73"/>
        <v>-232.7382098702341</v>
      </c>
    </row>
    <row r="136" spans="6:32" x14ac:dyDescent="0.25">
      <c r="F136">
        <f t="shared" si="74"/>
        <v>132</v>
      </c>
      <c r="G136" s="235">
        <f t="shared" si="50"/>
        <v>629.44591693470545</v>
      </c>
      <c r="H136" s="235">
        <f t="shared" si="51"/>
        <v>170.03635632792057</v>
      </c>
      <c r="I136" s="235">
        <f t="shared" si="52"/>
        <v>-629.44591693470545</v>
      </c>
      <c r="J136" s="235">
        <f t="shared" si="53"/>
        <v>170.03635632792057</v>
      </c>
      <c r="K136" s="235">
        <f t="shared" si="54"/>
        <v>-629.44591693470545</v>
      </c>
      <c r="L136" s="235">
        <f t="shared" si="55"/>
        <v>-170.03635632792057</v>
      </c>
      <c r="M136" s="235">
        <f t="shared" si="56"/>
        <v>629.44591693470545</v>
      </c>
      <c r="N136" s="235">
        <f t="shared" si="57"/>
        <v>-170.03635632792057</v>
      </c>
      <c r="P136" s="235">
        <f t="shared" si="58"/>
        <v>0</v>
      </c>
      <c r="Q136" s="235">
        <f t="shared" si="59"/>
        <v>362.10150745940484</v>
      </c>
      <c r="R136" s="235">
        <f t="shared" si="60"/>
        <v>0</v>
      </c>
      <c r="S136" s="235">
        <f t="shared" si="61"/>
        <v>362.10150745940484</v>
      </c>
      <c r="T136" s="235">
        <f t="shared" si="62"/>
        <v>0</v>
      </c>
      <c r="U136" s="235">
        <f t="shared" si="63"/>
        <v>-362.10150745940484</v>
      </c>
      <c r="V136" s="235">
        <f t="shared" si="64"/>
        <v>0</v>
      </c>
      <c r="W136" s="235">
        <f t="shared" si="65"/>
        <v>-362.10150745940484</v>
      </c>
      <c r="Y136" s="235">
        <f t="shared" si="66"/>
        <v>629.44591693470545</v>
      </c>
      <c r="Z136" s="235">
        <f t="shared" si="67"/>
        <v>230.19073530274622</v>
      </c>
      <c r="AA136" s="235">
        <f t="shared" si="68"/>
        <v>-629.44591693470545</v>
      </c>
      <c r="AB136" s="235">
        <f t="shared" si="69"/>
        <v>230.19073530274622</v>
      </c>
      <c r="AC136" s="235">
        <f t="shared" si="70"/>
        <v>-629.44591693470545</v>
      </c>
      <c r="AD136" s="235">
        <f t="shared" si="71"/>
        <v>-230.19073530274622</v>
      </c>
      <c r="AE136" s="235">
        <f t="shared" si="72"/>
        <v>629.44591693470545</v>
      </c>
      <c r="AF136" s="235">
        <f t="shared" si="73"/>
        <v>-230.19073530274622</v>
      </c>
    </row>
    <row r="137" spans="6:32" x14ac:dyDescent="0.25">
      <c r="F137">
        <f t="shared" si="74"/>
        <v>133</v>
      </c>
      <c r="G137" s="235">
        <f t="shared" si="50"/>
        <v>634.21444660845327</v>
      </c>
      <c r="H137" s="235">
        <f t="shared" si="51"/>
        <v>167.30523966849952</v>
      </c>
      <c r="I137" s="235">
        <f t="shared" si="52"/>
        <v>-634.21444660845327</v>
      </c>
      <c r="J137" s="235">
        <f t="shared" si="53"/>
        <v>167.30523966849952</v>
      </c>
      <c r="K137" s="235">
        <f t="shared" si="54"/>
        <v>-634.21444660845327</v>
      </c>
      <c r="L137" s="235">
        <f t="shared" si="55"/>
        <v>-167.30523966849952</v>
      </c>
      <c r="M137" s="235">
        <f t="shared" si="56"/>
        <v>634.21444660845327</v>
      </c>
      <c r="N137" s="235">
        <f t="shared" si="57"/>
        <v>-167.30523966849952</v>
      </c>
      <c r="P137" s="235">
        <f t="shared" si="58"/>
        <v>0</v>
      </c>
      <c r="Q137" s="235">
        <f t="shared" si="59"/>
        <v>362.10150745940484</v>
      </c>
      <c r="R137" s="235">
        <f t="shared" si="60"/>
        <v>0</v>
      </c>
      <c r="S137" s="235">
        <f t="shared" si="61"/>
        <v>362.10150745940484</v>
      </c>
      <c r="T137" s="235">
        <f t="shared" si="62"/>
        <v>0</v>
      </c>
      <c r="U137" s="235">
        <f t="shared" si="63"/>
        <v>-362.10150745940484</v>
      </c>
      <c r="V137" s="235">
        <f t="shared" si="64"/>
        <v>0</v>
      </c>
      <c r="W137" s="235">
        <f t="shared" si="65"/>
        <v>-362.10150745940484</v>
      </c>
      <c r="Y137" s="235">
        <f t="shared" si="66"/>
        <v>634.21444660845327</v>
      </c>
      <c r="Z137" s="235">
        <f t="shared" si="67"/>
        <v>227.5950501354813</v>
      </c>
      <c r="AA137" s="235">
        <f t="shared" si="68"/>
        <v>-634.21444660845327</v>
      </c>
      <c r="AB137" s="235">
        <f t="shared" si="69"/>
        <v>227.5950501354813</v>
      </c>
      <c r="AC137" s="235">
        <f t="shared" si="70"/>
        <v>-634.21444660845327</v>
      </c>
      <c r="AD137" s="235">
        <f t="shared" si="71"/>
        <v>-227.5950501354813</v>
      </c>
      <c r="AE137" s="235">
        <f t="shared" si="72"/>
        <v>634.21444660845327</v>
      </c>
      <c r="AF137" s="235">
        <f t="shared" si="73"/>
        <v>-227.5950501354813</v>
      </c>
    </row>
    <row r="138" spans="6:32" x14ac:dyDescent="0.25">
      <c r="F138">
        <f t="shared" si="74"/>
        <v>134</v>
      </c>
      <c r="G138" s="235">
        <f t="shared" si="50"/>
        <v>638.98297628220109</v>
      </c>
      <c r="H138" s="235">
        <f t="shared" si="51"/>
        <v>164.54123123253723</v>
      </c>
      <c r="I138" s="235">
        <f t="shared" si="52"/>
        <v>-638.98297628220109</v>
      </c>
      <c r="J138" s="235">
        <f t="shared" si="53"/>
        <v>164.54123123253723</v>
      </c>
      <c r="K138" s="235">
        <f t="shared" si="54"/>
        <v>-638.98297628220109</v>
      </c>
      <c r="L138" s="235">
        <f t="shared" si="55"/>
        <v>-164.54123123253723</v>
      </c>
      <c r="M138" s="235">
        <f t="shared" si="56"/>
        <v>638.98297628220109</v>
      </c>
      <c r="N138" s="235">
        <f t="shared" si="57"/>
        <v>-164.54123123253723</v>
      </c>
      <c r="P138" s="235">
        <f t="shared" si="58"/>
        <v>0</v>
      </c>
      <c r="Q138" s="235">
        <f t="shared" si="59"/>
        <v>362.10150745940484</v>
      </c>
      <c r="R138" s="235">
        <f t="shared" si="60"/>
        <v>0</v>
      </c>
      <c r="S138" s="235">
        <f t="shared" si="61"/>
        <v>362.10150745940484</v>
      </c>
      <c r="T138" s="235">
        <f t="shared" si="62"/>
        <v>0</v>
      </c>
      <c r="U138" s="235">
        <f t="shared" si="63"/>
        <v>-362.10150745940484</v>
      </c>
      <c r="V138" s="235">
        <f t="shared" si="64"/>
        <v>0</v>
      </c>
      <c r="W138" s="235">
        <f t="shared" si="65"/>
        <v>-362.10150745940484</v>
      </c>
      <c r="Y138" s="235">
        <f t="shared" si="66"/>
        <v>638.98297628220109</v>
      </c>
      <c r="Z138" s="235">
        <f t="shared" si="67"/>
        <v>224.9494854727634</v>
      </c>
      <c r="AA138" s="235">
        <f t="shared" si="68"/>
        <v>-638.98297628220109</v>
      </c>
      <c r="AB138" s="235">
        <f t="shared" si="69"/>
        <v>224.9494854727634</v>
      </c>
      <c r="AC138" s="235">
        <f t="shared" si="70"/>
        <v>-638.98297628220109</v>
      </c>
      <c r="AD138" s="235">
        <f t="shared" si="71"/>
        <v>-224.9494854727634</v>
      </c>
      <c r="AE138" s="235">
        <f t="shared" si="72"/>
        <v>638.98297628220109</v>
      </c>
      <c r="AF138" s="235">
        <f t="shared" si="73"/>
        <v>-224.9494854727634</v>
      </c>
    </row>
    <row r="139" spans="6:32" x14ac:dyDescent="0.25">
      <c r="F139">
        <f t="shared" si="74"/>
        <v>135</v>
      </c>
      <c r="G139" s="235">
        <f t="shared" si="50"/>
        <v>643.75150595594891</v>
      </c>
      <c r="H139" s="235">
        <f t="shared" si="51"/>
        <v>161.74334350848108</v>
      </c>
      <c r="I139" s="235">
        <f t="shared" si="52"/>
        <v>-643.75150595594891</v>
      </c>
      <c r="J139" s="235">
        <f t="shared" si="53"/>
        <v>161.74334350848108</v>
      </c>
      <c r="K139" s="235">
        <f t="shared" si="54"/>
        <v>-643.75150595594891</v>
      </c>
      <c r="L139" s="235">
        <f t="shared" si="55"/>
        <v>-161.74334350848108</v>
      </c>
      <c r="M139" s="235">
        <f t="shared" si="56"/>
        <v>643.75150595594891</v>
      </c>
      <c r="N139" s="235">
        <f t="shared" si="57"/>
        <v>-161.74334350848108</v>
      </c>
      <c r="P139" s="235">
        <f t="shared" si="58"/>
        <v>0</v>
      </c>
      <c r="Q139" s="235">
        <f t="shared" si="59"/>
        <v>362.10150745940484</v>
      </c>
      <c r="R139" s="235">
        <f t="shared" si="60"/>
        <v>0</v>
      </c>
      <c r="S139" s="235">
        <f t="shared" si="61"/>
        <v>362.10150745940484</v>
      </c>
      <c r="T139" s="235">
        <f t="shared" si="62"/>
        <v>0</v>
      </c>
      <c r="U139" s="235">
        <f t="shared" si="63"/>
        <v>-362.10150745940484</v>
      </c>
      <c r="V139" s="235">
        <f t="shared" si="64"/>
        <v>0</v>
      </c>
      <c r="W139" s="235">
        <f t="shared" si="65"/>
        <v>-362.10150745940484</v>
      </c>
      <c r="Y139" s="235">
        <f t="shared" si="66"/>
        <v>643.75150595594891</v>
      </c>
      <c r="Z139" s="235">
        <f t="shared" si="67"/>
        <v>222.25226011018484</v>
      </c>
      <c r="AA139" s="235">
        <f t="shared" si="68"/>
        <v>-643.75150595594891</v>
      </c>
      <c r="AB139" s="235">
        <f t="shared" si="69"/>
        <v>222.25226011018484</v>
      </c>
      <c r="AC139" s="235">
        <f t="shared" si="70"/>
        <v>-643.75150595594891</v>
      </c>
      <c r="AD139" s="235">
        <f t="shared" si="71"/>
        <v>-222.25226011018484</v>
      </c>
      <c r="AE139" s="235">
        <f t="shared" si="72"/>
        <v>643.75150595594891</v>
      </c>
      <c r="AF139" s="235">
        <f t="shared" si="73"/>
        <v>-222.25226011018484</v>
      </c>
    </row>
    <row r="140" spans="6:32" x14ac:dyDescent="0.25">
      <c r="F140">
        <f t="shared" si="74"/>
        <v>136</v>
      </c>
      <c r="G140" s="235">
        <f t="shared" si="50"/>
        <v>648.52003562969662</v>
      </c>
      <c r="H140" s="235">
        <f t="shared" si="51"/>
        <v>158.91052400488906</v>
      </c>
      <c r="I140" s="235">
        <f t="shared" si="52"/>
        <v>-648.52003562969662</v>
      </c>
      <c r="J140" s="235">
        <f t="shared" si="53"/>
        <v>158.91052400488906</v>
      </c>
      <c r="K140" s="235">
        <f t="shared" si="54"/>
        <v>-648.52003562969662</v>
      </c>
      <c r="L140" s="235">
        <f t="shared" si="55"/>
        <v>-158.91052400488906</v>
      </c>
      <c r="M140" s="235">
        <f t="shared" si="56"/>
        <v>648.52003562969662</v>
      </c>
      <c r="N140" s="235">
        <f t="shared" si="57"/>
        <v>-158.91052400488906</v>
      </c>
      <c r="P140" s="235">
        <f t="shared" si="58"/>
        <v>0</v>
      </c>
      <c r="Q140" s="235">
        <f t="shared" si="59"/>
        <v>362.10150745940484</v>
      </c>
      <c r="R140" s="235">
        <f t="shared" si="60"/>
        <v>0</v>
      </c>
      <c r="S140" s="235">
        <f t="shared" si="61"/>
        <v>362.10150745940484</v>
      </c>
      <c r="T140" s="235">
        <f t="shared" si="62"/>
        <v>0</v>
      </c>
      <c r="U140" s="235">
        <f t="shared" si="63"/>
        <v>-362.10150745940484</v>
      </c>
      <c r="V140" s="235">
        <f t="shared" si="64"/>
        <v>0</v>
      </c>
      <c r="W140" s="235">
        <f t="shared" si="65"/>
        <v>-362.10150745940484</v>
      </c>
      <c r="Y140" s="235">
        <f t="shared" si="66"/>
        <v>648.52003562969662</v>
      </c>
      <c r="Z140" s="235">
        <f t="shared" si="67"/>
        <v>219.50146964210757</v>
      </c>
      <c r="AA140" s="235">
        <f t="shared" si="68"/>
        <v>-648.52003562969662</v>
      </c>
      <c r="AB140" s="235">
        <f t="shared" si="69"/>
        <v>219.50146964210757</v>
      </c>
      <c r="AC140" s="235">
        <f t="shared" si="70"/>
        <v>-648.52003562969662</v>
      </c>
      <c r="AD140" s="235">
        <f t="shared" si="71"/>
        <v>-219.50146964210757</v>
      </c>
      <c r="AE140" s="235">
        <f t="shared" si="72"/>
        <v>648.52003562969662</v>
      </c>
      <c r="AF140" s="235">
        <f t="shared" si="73"/>
        <v>-219.50146964210757</v>
      </c>
    </row>
    <row r="141" spans="6:32" x14ac:dyDescent="0.25">
      <c r="F141">
        <f t="shared" si="74"/>
        <v>137</v>
      </c>
      <c r="G141" s="235">
        <f t="shared" si="50"/>
        <v>653.28856530344444</v>
      </c>
      <c r="H141" s="235">
        <f t="shared" si="51"/>
        <v>156.04164910241383</v>
      </c>
      <c r="I141" s="235">
        <f t="shared" si="52"/>
        <v>-653.28856530344444</v>
      </c>
      <c r="J141" s="235">
        <f t="shared" si="53"/>
        <v>156.04164910241383</v>
      </c>
      <c r="K141" s="235">
        <f t="shared" si="54"/>
        <v>-653.28856530344444</v>
      </c>
      <c r="L141" s="235">
        <f t="shared" si="55"/>
        <v>-156.04164910241383</v>
      </c>
      <c r="M141" s="235">
        <f t="shared" si="56"/>
        <v>653.28856530344444</v>
      </c>
      <c r="N141" s="235">
        <f t="shared" si="57"/>
        <v>-156.04164910241383</v>
      </c>
      <c r="P141" s="235">
        <f t="shared" si="58"/>
        <v>0</v>
      </c>
      <c r="Q141" s="235">
        <f t="shared" si="59"/>
        <v>362.10150745940484</v>
      </c>
      <c r="R141" s="235">
        <f t="shared" si="60"/>
        <v>0</v>
      </c>
      <c r="S141" s="235">
        <f t="shared" si="61"/>
        <v>362.10150745940484</v>
      </c>
      <c r="T141" s="235">
        <f t="shared" si="62"/>
        <v>0</v>
      </c>
      <c r="U141" s="235">
        <f t="shared" si="63"/>
        <v>-362.10150745940484</v>
      </c>
      <c r="V141" s="235">
        <f t="shared" si="64"/>
        <v>0</v>
      </c>
      <c r="W141" s="235">
        <f t="shared" si="65"/>
        <v>-362.10150745940484</v>
      </c>
      <c r="Y141" s="235">
        <f t="shared" si="66"/>
        <v>653.28856530344444</v>
      </c>
      <c r="Z141" s="235">
        <f t="shared" si="67"/>
        <v>216.69507416492027</v>
      </c>
      <c r="AA141" s="235">
        <f t="shared" si="68"/>
        <v>-653.28856530344444</v>
      </c>
      <c r="AB141" s="235">
        <f t="shared" si="69"/>
        <v>216.69507416492027</v>
      </c>
      <c r="AC141" s="235">
        <f t="shared" si="70"/>
        <v>-653.28856530344444</v>
      </c>
      <c r="AD141" s="235">
        <f t="shared" si="71"/>
        <v>-216.69507416492027</v>
      </c>
      <c r="AE141" s="235">
        <f t="shared" si="72"/>
        <v>653.28856530344444</v>
      </c>
      <c r="AF141" s="235">
        <f t="shared" si="73"/>
        <v>-216.69507416492027</v>
      </c>
    </row>
    <row r="142" spans="6:32" x14ac:dyDescent="0.25">
      <c r="F142">
        <f t="shared" si="74"/>
        <v>138</v>
      </c>
      <c r="G142" s="235">
        <f t="shared" si="50"/>
        <v>658.05709497719215</v>
      </c>
      <c r="H142" s="235">
        <f t="shared" si="51"/>
        <v>153.13551712014939</v>
      </c>
      <c r="I142" s="235">
        <f t="shared" si="52"/>
        <v>-658.05709497719215</v>
      </c>
      <c r="J142" s="235">
        <f t="shared" si="53"/>
        <v>153.13551712014939</v>
      </c>
      <c r="K142" s="235">
        <f t="shared" si="54"/>
        <v>-658.05709497719215</v>
      </c>
      <c r="L142" s="235">
        <f t="shared" si="55"/>
        <v>-153.13551712014939</v>
      </c>
      <c r="M142" s="235">
        <f t="shared" si="56"/>
        <v>658.05709497719215</v>
      </c>
      <c r="N142" s="235">
        <f t="shared" si="57"/>
        <v>-153.13551712014939</v>
      </c>
      <c r="P142" s="235">
        <f t="shared" si="58"/>
        <v>0</v>
      </c>
      <c r="Q142" s="235">
        <f t="shared" si="59"/>
        <v>362.10150745940484</v>
      </c>
      <c r="R142" s="235">
        <f t="shared" si="60"/>
        <v>0</v>
      </c>
      <c r="S142" s="235">
        <f t="shared" si="61"/>
        <v>362.10150745940484</v>
      </c>
      <c r="T142" s="235">
        <f t="shared" si="62"/>
        <v>0</v>
      </c>
      <c r="U142" s="235">
        <f t="shared" si="63"/>
        <v>-362.10150745940484</v>
      </c>
      <c r="V142" s="235">
        <f t="shared" si="64"/>
        <v>0</v>
      </c>
      <c r="W142" s="235">
        <f t="shared" si="65"/>
        <v>-362.10150745940484</v>
      </c>
      <c r="Y142" s="235">
        <f t="shared" si="66"/>
        <v>658.05709497719215</v>
      </c>
      <c r="Z142" s="235">
        <f t="shared" si="67"/>
        <v>213.83088434782081</v>
      </c>
      <c r="AA142" s="235">
        <f t="shared" si="68"/>
        <v>-658.05709497719215</v>
      </c>
      <c r="AB142" s="235">
        <f t="shared" si="69"/>
        <v>213.83088434782081</v>
      </c>
      <c r="AC142" s="235">
        <f t="shared" si="70"/>
        <v>-658.05709497719215</v>
      </c>
      <c r="AD142" s="235">
        <f t="shared" si="71"/>
        <v>-213.83088434782081</v>
      </c>
      <c r="AE142" s="235">
        <f t="shared" si="72"/>
        <v>658.05709497719215</v>
      </c>
      <c r="AF142" s="235">
        <f t="shared" si="73"/>
        <v>-213.83088434782081</v>
      </c>
    </row>
    <row r="143" spans="6:32" x14ac:dyDescent="0.25">
      <c r="F143">
        <f t="shared" si="74"/>
        <v>139</v>
      </c>
      <c r="G143" s="235">
        <f t="shared" si="50"/>
        <v>662.82562465093997</v>
      </c>
      <c r="H143" s="235">
        <f t="shared" si="51"/>
        <v>150.19084046896964</v>
      </c>
      <c r="I143" s="235">
        <f t="shared" si="52"/>
        <v>-662.82562465093997</v>
      </c>
      <c r="J143" s="235">
        <f t="shared" si="53"/>
        <v>150.19084046896964</v>
      </c>
      <c r="K143" s="235">
        <f t="shared" si="54"/>
        <v>-662.82562465093997</v>
      </c>
      <c r="L143" s="235">
        <f t="shared" si="55"/>
        <v>-150.19084046896964</v>
      </c>
      <c r="M143" s="235">
        <f t="shared" si="56"/>
        <v>662.82562465093997</v>
      </c>
      <c r="N143" s="235">
        <f t="shared" si="57"/>
        <v>-150.19084046896964</v>
      </c>
      <c r="P143" s="235">
        <f t="shared" si="58"/>
        <v>0</v>
      </c>
      <c r="Q143" s="235">
        <f t="shared" si="59"/>
        <v>362.10150745940484</v>
      </c>
      <c r="R143" s="235">
        <f t="shared" si="60"/>
        <v>0</v>
      </c>
      <c r="S143" s="235">
        <f t="shared" si="61"/>
        <v>362.10150745940484</v>
      </c>
      <c r="T143" s="235">
        <f t="shared" si="62"/>
        <v>0</v>
      </c>
      <c r="U143" s="235">
        <f t="shared" si="63"/>
        <v>-362.10150745940484</v>
      </c>
      <c r="V143" s="235">
        <f t="shared" si="64"/>
        <v>0</v>
      </c>
      <c r="W143" s="235">
        <f t="shared" si="65"/>
        <v>-362.10150745940484</v>
      </c>
      <c r="Y143" s="235">
        <f t="shared" si="66"/>
        <v>662.82562465093997</v>
      </c>
      <c r="Z143" s="235">
        <f t="shared" si="67"/>
        <v>210.90654559765886</v>
      </c>
      <c r="AA143" s="235">
        <f t="shared" si="68"/>
        <v>-662.82562465093997</v>
      </c>
      <c r="AB143" s="235">
        <f t="shared" si="69"/>
        <v>210.90654559765886</v>
      </c>
      <c r="AC143" s="235">
        <f t="shared" si="70"/>
        <v>-662.82562465093997</v>
      </c>
      <c r="AD143" s="235">
        <f t="shared" si="71"/>
        <v>-210.90654559765886</v>
      </c>
      <c r="AE143" s="235">
        <f t="shared" si="72"/>
        <v>662.82562465093997</v>
      </c>
      <c r="AF143" s="235">
        <f t="shared" si="73"/>
        <v>-210.90654559765886</v>
      </c>
    </row>
    <row r="144" spans="6:32" x14ac:dyDescent="0.25">
      <c r="F144">
        <f t="shared" si="74"/>
        <v>140</v>
      </c>
      <c r="G144" s="235">
        <f t="shared" si="50"/>
        <v>667.59415432468768</v>
      </c>
      <c r="H144" s="235">
        <f t="shared" si="51"/>
        <v>147.20623673917385</v>
      </c>
      <c r="I144" s="235">
        <f t="shared" si="52"/>
        <v>-667.59415432468768</v>
      </c>
      <c r="J144" s="235">
        <f t="shared" si="53"/>
        <v>147.20623673917385</v>
      </c>
      <c r="K144" s="235">
        <f t="shared" si="54"/>
        <v>-667.59415432468768</v>
      </c>
      <c r="L144" s="235">
        <f t="shared" si="55"/>
        <v>-147.20623673917385</v>
      </c>
      <c r="M144" s="235">
        <f t="shared" si="56"/>
        <v>667.59415432468768</v>
      </c>
      <c r="N144" s="235">
        <f t="shared" si="57"/>
        <v>-147.20623673917385</v>
      </c>
      <c r="P144" s="235">
        <f t="shared" si="58"/>
        <v>0</v>
      </c>
      <c r="Q144" s="235">
        <f t="shared" si="59"/>
        <v>362.10150745940484</v>
      </c>
      <c r="R144" s="235">
        <f t="shared" si="60"/>
        <v>0</v>
      </c>
      <c r="S144" s="235">
        <f t="shared" si="61"/>
        <v>362.10150745940484</v>
      </c>
      <c r="T144" s="235">
        <f t="shared" si="62"/>
        <v>0</v>
      </c>
      <c r="U144" s="235">
        <f t="shared" si="63"/>
        <v>-362.10150745940484</v>
      </c>
      <c r="V144" s="235">
        <f t="shared" si="64"/>
        <v>0</v>
      </c>
      <c r="W144" s="235">
        <f t="shared" si="65"/>
        <v>-362.10150745940484</v>
      </c>
      <c r="Y144" s="235">
        <f t="shared" si="66"/>
        <v>667.59415432468768</v>
      </c>
      <c r="Z144" s="235">
        <f t="shared" si="67"/>
        <v>207.9195199884781</v>
      </c>
      <c r="AA144" s="235">
        <f t="shared" si="68"/>
        <v>-667.59415432468768</v>
      </c>
      <c r="AB144" s="235">
        <f t="shared" si="69"/>
        <v>207.9195199884781</v>
      </c>
      <c r="AC144" s="235">
        <f t="shared" si="70"/>
        <v>-667.59415432468768</v>
      </c>
      <c r="AD144" s="235">
        <f t="shared" si="71"/>
        <v>-207.9195199884781</v>
      </c>
      <c r="AE144" s="235">
        <f t="shared" si="72"/>
        <v>667.59415432468768</v>
      </c>
      <c r="AF144" s="235">
        <f t="shared" si="73"/>
        <v>-207.9195199884781</v>
      </c>
    </row>
    <row r="145" spans="6:32" x14ac:dyDescent="0.25">
      <c r="F145">
        <f t="shared" si="74"/>
        <v>141</v>
      </c>
      <c r="G145" s="235">
        <f t="shared" si="50"/>
        <v>672.3626839984355</v>
      </c>
      <c r="H145" s="235">
        <f t="shared" si="51"/>
        <v>144.18021853840472</v>
      </c>
      <c r="I145" s="235">
        <f t="shared" si="52"/>
        <v>-672.3626839984355</v>
      </c>
      <c r="J145" s="235">
        <f t="shared" si="53"/>
        <v>144.18021853840472</v>
      </c>
      <c r="K145" s="235">
        <f t="shared" si="54"/>
        <v>-672.3626839984355</v>
      </c>
      <c r="L145" s="235">
        <f t="shared" si="55"/>
        <v>-144.18021853840472</v>
      </c>
      <c r="M145" s="235">
        <f t="shared" si="56"/>
        <v>672.3626839984355</v>
      </c>
      <c r="N145" s="235">
        <f t="shared" si="57"/>
        <v>-144.18021853840472</v>
      </c>
      <c r="P145" s="235">
        <f t="shared" si="58"/>
        <v>0</v>
      </c>
      <c r="Q145" s="235">
        <f t="shared" si="59"/>
        <v>362.10150745940484</v>
      </c>
      <c r="R145" s="235">
        <f t="shared" si="60"/>
        <v>0</v>
      </c>
      <c r="S145" s="235">
        <f t="shared" si="61"/>
        <v>362.10150745940484</v>
      </c>
      <c r="T145" s="235">
        <f t="shared" si="62"/>
        <v>0</v>
      </c>
      <c r="U145" s="235">
        <f t="shared" si="63"/>
        <v>-362.10150745940484</v>
      </c>
      <c r="V145" s="235">
        <f t="shared" si="64"/>
        <v>0</v>
      </c>
      <c r="W145" s="235">
        <f t="shared" si="65"/>
        <v>-362.10150745940484</v>
      </c>
      <c r="Y145" s="235">
        <f t="shared" si="66"/>
        <v>672.3626839984355</v>
      </c>
      <c r="Z145" s="235">
        <f t="shared" si="67"/>
        <v>204.86706555685413</v>
      </c>
      <c r="AA145" s="235">
        <f t="shared" si="68"/>
        <v>-672.3626839984355</v>
      </c>
      <c r="AB145" s="235">
        <f t="shared" si="69"/>
        <v>204.86706555685413</v>
      </c>
      <c r="AC145" s="235">
        <f t="shared" si="70"/>
        <v>-672.3626839984355</v>
      </c>
      <c r="AD145" s="235">
        <f t="shared" si="71"/>
        <v>-204.86706555685413</v>
      </c>
      <c r="AE145" s="235">
        <f t="shared" si="72"/>
        <v>672.3626839984355</v>
      </c>
      <c r="AF145" s="235">
        <f t="shared" si="73"/>
        <v>-204.86706555685413</v>
      </c>
    </row>
    <row r="146" spans="6:32" x14ac:dyDescent="0.25">
      <c r="F146">
        <f t="shared" si="74"/>
        <v>142</v>
      </c>
      <c r="G146" s="235">
        <f t="shared" si="50"/>
        <v>677.13121367218321</v>
      </c>
      <c r="H146" s="235">
        <f t="shared" si="51"/>
        <v>141.11118185676656</v>
      </c>
      <c r="I146" s="235">
        <f t="shared" si="52"/>
        <v>-677.13121367218321</v>
      </c>
      <c r="J146" s="235">
        <f t="shared" si="53"/>
        <v>141.11118185676656</v>
      </c>
      <c r="K146" s="235">
        <f t="shared" si="54"/>
        <v>-677.13121367218321</v>
      </c>
      <c r="L146" s="235">
        <f t="shared" si="55"/>
        <v>-141.11118185676656</v>
      </c>
      <c r="M146" s="235">
        <f t="shared" si="56"/>
        <v>677.13121367218321</v>
      </c>
      <c r="N146" s="235">
        <f t="shared" si="57"/>
        <v>-141.11118185676656</v>
      </c>
      <c r="P146" s="235">
        <f t="shared" si="58"/>
        <v>0</v>
      </c>
      <c r="Q146" s="235">
        <f t="shared" si="59"/>
        <v>362.10150745940484</v>
      </c>
      <c r="R146" s="235">
        <f t="shared" si="60"/>
        <v>0</v>
      </c>
      <c r="S146" s="235">
        <f t="shared" si="61"/>
        <v>362.10150745940484</v>
      </c>
      <c r="T146" s="235">
        <f t="shared" si="62"/>
        <v>0</v>
      </c>
      <c r="U146" s="235">
        <f t="shared" si="63"/>
        <v>-362.10150745940484</v>
      </c>
      <c r="V146" s="235">
        <f t="shared" si="64"/>
        <v>0</v>
      </c>
      <c r="W146" s="235">
        <f t="shared" si="65"/>
        <v>-362.10150745940484</v>
      </c>
      <c r="Y146" s="235">
        <f t="shared" si="66"/>
        <v>677.13121367218321</v>
      </c>
      <c r="Z146" s="235">
        <f t="shared" si="67"/>
        <v>201.74621247708504</v>
      </c>
      <c r="AA146" s="235">
        <f t="shared" si="68"/>
        <v>-677.13121367218321</v>
      </c>
      <c r="AB146" s="235">
        <f t="shared" si="69"/>
        <v>201.74621247708504</v>
      </c>
      <c r="AC146" s="235">
        <f t="shared" si="70"/>
        <v>-677.13121367218321</v>
      </c>
      <c r="AD146" s="235">
        <f t="shared" si="71"/>
        <v>-201.74621247708504</v>
      </c>
      <c r="AE146" s="235">
        <f t="shared" si="72"/>
        <v>677.13121367218321</v>
      </c>
      <c r="AF146" s="235">
        <f t="shared" si="73"/>
        <v>-201.74621247708504</v>
      </c>
    </row>
    <row r="147" spans="6:32" x14ac:dyDescent="0.25">
      <c r="F147">
        <f t="shared" si="74"/>
        <v>143</v>
      </c>
      <c r="G147" s="235">
        <f t="shared" si="50"/>
        <v>681.89974334593103</v>
      </c>
      <c r="H147" s="235">
        <f t="shared" si="51"/>
        <v>137.99739268709035</v>
      </c>
      <c r="I147" s="235">
        <f t="shared" si="52"/>
        <v>-681.89974334593103</v>
      </c>
      <c r="J147" s="235">
        <f t="shared" si="53"/>
        <v>137.99739268709035</v>
      </c>
      <c r="K147" s="235">
        <f t="shared" si="54"/>
        <v>-681.89974334593103</v>
      </c>
      <c r="L147" s="235">
        <f t="shared" si="55"/>
        <v>-137.99739268709035</v>
      </c>
      <c r="M147" s="235">
        <f t="shared" si="56"/>
        <v>681.89974334593103</v>
      </c>
      <c r="N147" s="235">
        <f t="shared" si="57"/>
        <v>-137.99739268709035</v>
      </c>
      <c r="P147" s="235">
        <f t="shared" si="58"/>
        <v>0</v>
      </c>
      <c r="Q147" s="235">
        <f t="shared" si="59"/>
        <v>362.10150745940484</v>
      </c>
      <c r="R147" s="235">
        <f t="shared" si="60"/>
        <v>0</v>
      </c>
      <c r="S147" s="235">
        <f t="shared" si="61"/>
        <v>362.10150745940484</v>
      </c>
      <c r="T147" s="235">
        <f t="shared" si="62"/>
        <v>0</v>
      </c>
      <c r="U147" s="235">
        <f t="shared" si="63"/>
        <v>-362.10150745940484</v>
      </c>
      <c r="V147" s="235">
        <f t="shared" si="64"/>
        <v>0</v>
      </c>
      <c r="W147" s="235">
        <f t="shared" si="65"/>
        <v>-362.10150745940484</v>
      </c>
      <c r="Y147" s="235">
        <f t="shared" si="66"/>
        <v>681.89974334593103</v>
      </c>
      <c r="Z147" s="235">
        <f t="shared" si="67"/>
        <v>198.55373552053203</v>
      </c>
      <c r="AA147" s="235">
        <f t="shared" si="68"/>
        <v>-681.89974334593103</v>
      </c>
      <c r="AB147" s="235">
        <f t="shared" si="69"/>
        <v>198.55373552053203</v>
      </c>
      <c r="AC147" s="235">
        <f t="shared" si="70"/>
        <v>-681.89974334593103</v>
      </c>
      <c r="AD147" s="235">
        <f t="shared" si="71"/>
        <v>-198.55373552053203</v>
      </c>
      <c r="AE147" s="235">
        <f t="shared" si="72"/>
        <v>681.89974334593103</v>
      </c>
      <c r="AF147" s="235">
        <f t="shared" si="73"/>
        <v>-198.55373552053203</v>
      </c>
    </row>
    <row r="148" spans="6:32" x14ac:dyDescent="0.25">
      <c r="F148">
        <f t="shared" si="74"/>
        <v>144</v>
      </c>
      <c r="G148" s="235">
        <f t="shared" si="50"/>
        <v>686.66827301967874</v>
      </c>
      <c r="H148" s="235">
        <f t="shared" si="51"/>
        <v>134.83697156641483</v>
      </c>
      <c r="I148" s="235">
        <f t="shared" si="52"/>
        <v>-686.66827301967874</v>
      </c>
      <c r="J148" s="235">
        <f t="shared" si="53"/>
        <v>134.83697156641483</v>
      </c>
      <c r="K148" s="235">
        <f t="shared" si="54"/>
        <v>-686.66827301967874</v>
      </c>
      <c r="L148" s="235">
        <f t="shared" si="55"/>
        <v>-134.83697156641483</v>
      </c>
      <c r="M148" s="235">
        <f t="shared" si="56"/>
        <v>686.66827301967874</v>
      </c>
      <c r="N148" s="235">
        <f t="shared" si="57"/>
        <v>-134.83697156641483</v>
      </c>
      <c r="P148" s="235">
        <f t="shared" si="58"/>
        <v>0</v>
      </c>
      <c r="Q148" s="235">
        <f t="shared" si="59"/>
        <v>362.10150745940484</v>
      </c>
      <c r="R148" s="235">
        <f t="shared" si="60"/>
        <v>0</v>
      </c>
      <c r="S148" s="235">
        <f t="shared" si="61"/>
        <v>362.10150745940484</v>
      </c>
      <c r="T148" s="235">
        <f t="shared" si="62"/>
        <v>0</v>
      </c>
      <c r="U148" s="235">
        <f t="shared" si="63"/>
        <v>-362.10150745940484</v>
      </c>
      <c r="V148" s="235">
        <f t="shared" si="64"/>
        <v>0</v>
      </c>
      <c r="W148" s="235">
        <f t="shared" si="65"/>
        <v>-362.10150745940484</v>
      </c>
      <c r="Y148" s="235">
        <f t="shared" si="66"/>
        <v>686.66827301967874</v>
      </c>
      <c r="Z148" s="235">
        <f t="shared" si="67"/>
        <v>195.28612206401445</v>
      </c>
      <c r="AA148" s="235">
        <f t="shared" si="68"/>
        <v>-686.66827301967874</v>
      </c>
      <c r="AB148" s="235">
        <f t="shared" si="69"/>
        <v>195.28612206401445</v>
      </c>
      <c r="AC148" s="235">
        <f t="shared" si="70"/>
        <v>-686.66827301967874</v>
      </c>
      <c r="AD148" s="235">
        <f t="shared" si="71"/>
        <v>-195.28612206401445</v>
      </c>
      <c r="AE148" s="235">
        <f t="shared" si="72"/>
        <v>686.66827301967874</v>
      </c>
      <c r="AF148" s="235">
        <f t="shared" si="73"/>
        <v>-195.28612206401445</v>
      </c>
    </row>
    <row r="149" spans="6:32" x14ac:dyDescent="0.25">
      <c r="F149">
        <f t="shared" si="74"/>
        <v>145</v>
      </c>
      <c r="G149" s="235">
        <f t="shared" si="50"/>
        <v>691.43680269342656</v>
      </c>
      <c r="H149" s="235">
        <f t="shared" si="51"/>
        <v>131.6278756259517</v>
      </c>
      <c r="I149" s="235">
        <f t="shared" si="52"/>
        <v>-691.43680269342656</v>
      </c>
      <c r="J149" s="235">
        <f t="shared" si="53"/>
        <v>131.6278756259517</v>
      </c>
      <c r="K149" s="235">
        <f t="shared" si="54"/>
        <v>-691.43680269342656</v>
      </c>
      <c r="L149" s="235">
        <f t="shared" si="55"/>
        <v>-131.6278756259517</v>
      </c>
      <c r="M149" s="235">
        <f t="shared" si="56"/>
        <v>691.43680269342656</v>
      </c>
      <c r="N149" s="235">
        <f t="shared" si="57"/>
        <v>-131.6278756259517</v>
      </c>
      <c r="P149" s="235">
        <f t="shared" si="58"/>
        <v>0</v>
      </c>
      <c r="Q149" s="235">
        <f t="shared" si="59"/>
        <v>362.10150745940484</v>
      </c>
      <c r="R149" s="235">
        <f t="shared" si="60"/>
        <v>0</v>
      </c>
      <c r="S149" s="235">
        <f t="shared" si="61"/>
        <v>362.10150745940484</v>
      </c>
      <c r="T149" s="235">
        <f t="shared" si="62"/>
        <v>0</v>
      </c>
      <c r="U149" s="235">
        <f t="shared" si="63"/>
        <v>-362.10150745940484</v>
      </c>
      <c r="V149" s="235">
        <f t="shared" si="64"/>
        <v>0</v>
      </c>
      <c r="W149" s="235">
        <f t="shared" si="65"/>
        <v>-362.10150745940484</v>
      </c>
      <c r="Y149" s="235">
        <f t="shared" si="66"/>
        <v>691.43680269342656</v>
      </c>
      <c r="Z149" s="235">
        <f t="shared" si="67"/>
        <v>191.93953473367696</v>
      </c>
      <c r="AA149" s="235">
        <f t="shared" si="68"/>
        <v>-691.43680269342656</v>
      </c>
      <c r="AB149" s="235">
        <f t="shared" si="69"/>
        <v>191.93953473367696</v>
      </c>
      <c r="AC149" s="235">
        <f t="shared" si="70"/>
        <v>-691.43680269342656</v>
      </c>
      <c r="AD149" s="235">
        <f t="shared" si="71"/>
        <v>-191.93953473367696</v>
      </c>
      <c r="AE149" s="235">
        <f t="shared" si="72"/>
        <v>691.43680269342656</v>
      </c>
      <c r="AF149" s="235">
        <f t="shared" si="73"/>
        <v>-191.93953473367696</v>
      </c>
    </row>
    <row r="150" spans="6:32" x14ac:dyDescent="0.25">
      <c r="F150">
        <f t="shared" si="74"/>
        <v>146</v>
      </c>
      <c r="G150" s="235">
        <f t="shared" si="50"/>
        <v>696.20533236717426</v>
      </c>
      <c r="H150" s="235">
        <f t="shared" si="51"/>
        <v>128.36787763563086</v>
      </c>
      <c r="I150" s="235">
        <f t="shared" si="52"/>
        <v>-696.20533236717426</v>
      </c>
      <c r="J150" s="235">
        <f t="shared" si="53"/>
        <v>128.36787763563086</v>
      </c>
      <c r="K150" s="235">
        <f t="shared" si="54"/>
        <v>-696.20533236717426</v>
      </c>
      <c r="L150" s="235">
        <f t="shared" si="55"/>
        <v>-128.36787763563086</v>
      </c>
      <c r="M150" s="235">
        <f t="shared" si="56"/>
        <v>696.20533236717426</v>
      </c>
      <c r="N150" s="235">
        <f t="shared" si="57"/>
        <v>-128.36787763563086</v>
      </c>
      <c r="P150" s="235">
        <f t="shared" si="58"/>
        <v>0</v>
      </c>
      <c r="Q150" s="235">
        <f t="shared" si="59"/>
        <v>362.10150745940484</v>
      </c>
      <c r="R150" s="235">
        <f t="shared" si="60"/>
        <v>0</v>
      </c>
      <c r="S150" s="235">
        <f t="shared" si="61"/>
        <v>362.10150745940484</v>
      </c>
      <c r="T150" s="235">
        <f t="shared" si="62"/>
        <v>0</v>
      </c>
      <c r="U150" s="235">
        <f t="shared" si="63"/>
        <v>-362.10150745940484</v>
      </c>
      <c r="V150" s="235">
        <f t="shared" si="64"/>
        <v>0</v>
      </c>
      <c r="W150" s="235">
        <f t="shared" si="65"/>
        <v>-362.10150745940484</v>
      </c>
      <c r="Y150" s="235">
        <f t="shared" si="66"/>
        <v>696.20533236717426</v>
      </c>
      <c r="Z150" s="235">
        <f t="shared" si="67"/>
        <v>188.50976754029253</v>
      </c>
      <c r="AA150" s="235">
        <f t="shared" si="68"/>
        <v>-696.20533236717426</v>
      </c>
      <c r="AB150" s="235">
        <f t="shared" si="69"/>
        <v>188.50976754029253</v>
      </c>
      <c r="AC150" s="235">
        <f t="shared" si="70"/>
        <v>-696.20533236717426</v>
      </c>
      <c r="AD150" s="235">
        <f t="shared" si="71"/>
        <v>-188.50976754029253</v>
      </c>
      <c r="AE150" s="235">
        <f t="shared" si="72"/>
        <v>696.20533236717426</v>
      </c>
      <c r="AF150" s="235">
        <f t="shared" si="73"/>
        <v>-188.50976754029253</v>
      </c>
    </row>
    <row r="151" spans="6:32" x14ac:dyDescent="0.25">
      <c r="F151">
        <f t="shared" si="74"/>
        <v>147</v>
      </c>
      <c r="G151" s="235">
        <f t="shared" si="50"/>
        <v>700.97386204092209</v>
      </c>
      <c r="H151" s="235">
        <f t="shared" si="51"/>
        <v>125.05454139825007</v>
      </c>
      <c r="I151" s="235">
        <f t="shared" si="52"/>
        <v>-700.97386204092209</v>
      </c>
      <c r="J151" s="235">
        <f t="shared" si="53"/>
        <v>125.05454139825007</v>
      </c>
      <c r="K151" s="235">
        <f t="shared" si="54"/>
        <v>-700.97386204092209</v>
      </c>
      <c r="L151" s="235">
        <f t="shared" si="55"/>
        <v>-125.05454139825007</v>
      </c>
      <c r="M151" s="235">
        <f t="shared" si="56"/>
        <v>700.97386204092209</v>
      </c>
      <c r="N151" s="235">
        <f t="shared" si="57"/>
        <v>-125.05454139825007</v>
      </c>
      <c r="P151" s="235">
        <f t="shared" si="58"/>
        <v>0</v>
      </c>
      <c r="Q151" s="235">
        <f t="shared" si="59"/>
        <v>362.10150745940484</v>
      </c>
      <c r="R151" s="235">
        <f t="shared" si="60"/>
        <v>0</v>
      </c>
      <c r="S151" s="235">
        <f t="shared" si="61"/>
        <v>362.10150745940484</v>
      </c>
      <c r="T151" s="235">
        <f t="shared" si="62"/>
        <v>0</v>
      </c>
      <c r="U151" s="235">
        <f t="shared" si="63"/>
        <v>-362.10150745940484</v>
      </c>
      <c r="V151" s="235">
        <f t="shared" si="64"/>
        <v>0</v>
      </c>
      <c r="W151" s="235">
        <f t="shared" si="65"/>
        <v>-362.10150745940484</v>
      </c>
      <c r="Y151" s="235">
        <f t="shared" si="66"/>
        <v>700.97386204092209</v>
      </c>
      <c r="Z151" s="235">
        <f t="shared" si="67"/>
        <v>184.99219406165588</v>
      </c>
      <c r="AA151" s="235">
        <f t="shared" si="68"/>
        <v>-700.97386204092209</v>
      </c>
      <c r="AB151" s="235">
        <f t="shared" si="69"/>
        <v>184.99219406165588</v>
      </c>
      <c r="AC151" s="235">
        <f t="shared" si="70"/>
        <v>-700.97386204092209</v>
      </c>
      <c r="AD151" s="235">
        <f t="shared" si="71"/>
        <v>-184.99219406165588</v>
      </c>
      <c r="AE151" s="235">
        <f t="shared" si="72"/>
        <v>700.97386204092209</v>
      </c>
      <c r="AF151" s="235">
        <f t="shared" si="73"/>
        <v>-184.99219406165588</v>
      </c>
    </row>
    <row r="152" spans="6:32" x14ac:dyDescent="0.25">
      <c r="F152">
        <f t="shared" si="74"/>
        <v>148</v>
      </c>
      <c r="G152" s="235">
        <f t="shared" si="50"/>
        <v>705.74239171466979</v>
      </c>
      <c r="H152" s="235">
        <f t="shared" si="51"/>
        <v>121.68519267682855</v>
      </c>
      <c r="I152" s="235">
        <f t="shared" si="52"/>
        <v>-705.74239171466979</v>
      </c>
      <c r="J152" s="235">
        <f t="shared" si="53"/>
        <v>121.68519267682855</v>
      </c>
      <c r="K152" s="235">
        <f t="shared" si="54"/>
        <v>-705.74239171466979</v>
      </c>
      <c r="L152" s="235">
        <f t="shared" si="55"/>
        <v>-121.68519267682855</v>
      </c>
      <c r="M152" s="235">
        <f t="shared" si="56"/>
        <v>705.74239171466979</v>
      </c>
      <c r="N152" s="235">
        <f t="shared" si="57"/>
        <v>-121.68519267682855</v>
      </c>
      <c r="P152" s="235">
        <f t="shared" si="58"/>
        <v>0</v>
      </c>
      <c r="Q152" s="235">
        <f t="shared" si="59"/>
        <v>362.10150745940484</v>
      </c>
      <c r="R152" s="235">
        <f t="shared" si="60"/>
        <v>0</v>
      </c>
      <c r="S152" s="235">
        <f t="shared" si="61"/>
        <v>362.10150745940484</v>
      </c>
      <c r="T152" s="235">
        <f t="shared" si="62"/>
        <v>0</v>
      </c>
      <c r="U152" s="235">
        <f t="shared" si="63"/>
        <v>-362.10150745940484</v>
      </c>
      <c r="V152" s="235">
        <f t="shared" si="64"/>
        <v>0</v>
      </c>
      <c r="W152" s="235">
        <f t="shared" si="65"/>
        <v>-362.10150745940484</v>
      </c>
      <c r="Y152" s="235">
        <f t="shared" si="66"/>
        <v>705.74239171466979</v>
      </c>
      <c r="Z152" s="235">
        <f t="shared" si="67"/>
        <v>181.38170583256488</v>
      </c>
      <c r="AA152" s="235">
        <f t="shared" si="68"/>
        <v>-705.74239171466979</v>
      </c>
      <c r="AB152" s="235">
        <f t="shared" si="69"/>
        <v>181.38170583256488</v>
      </c>
      <c r="AC152" s="235">
        <f t="shared" si="70"/>
        <v>-705.74239171466979</v>
      </c>
      <c r="AD152" s="235">
        <f t="shared" si="71"/>
        <v>-181.38170583256488</v>
      </c>
      <c r="AE152" s="235">
        <f t="shared" si="72"/>
        <v>705.74239171466979</v>
      </c>
      <c r="AF152" s="235">
        <f t="shared" si="73"/>
        <v>-181.38170583256488</v>
      </c>
    </row>
    <row r="153" spans="6:32" x14ac:dyDescent="0.25">
      <c r="F153">
        <f t="shared" si="74"/>
        <v>149</v>
      </c>
      <c r="G153" s="235">
        <f t="shared" si="50"/>
        <v>710.51092138841761</v>
      </c>
      <c r="H153" s="235">
        <f t="shared" si="51"/>
        <v>118.2568846122264</v>
      </c>
      <c r="I153" s="235">
        <f t="shared" si="52"/>
        <v>-710.51092138841761</v>
      </c>
      <c r="J153" s="235">
        <f t="shared" si="53"/>
        <v>118.2568846122264</v>
      </c>
      <c r="K153" s="235">
        <f t="shared" si="54"/>
        <v>-710.51092138841761</v>
      </c>
      <c r="L153" s="235">
        <f t="shared" si="55"/>
        <v>-118.2568846122264</v>
      </c>
      <c r="M153" s="235">
        <f t="shared" si="56"/>
        <v>710.51092138841761</v>
      </c>
      <c r="N153" s="235">
        <f t="shared" si="57"/>
        <v>-118.2568846122264</v>
      </c>
      <c r="P153" s="235">
        <f t="shared" si="58"/>
        <v>0</v>
      </c>
      <c r="Q153" s="235">
        <f t="shared" si="59"/>
        <v>362.10150745940484</v>
      </c>
      <c r="R153" s="235">
        <f t="shared" si="60"/>
        <v>0</v>
      </c>
      <c r="S153" s="235">
        <f t="shared" si="61"/>
        <v>362.10150745940484</v>
      </c>
      <c r="T153" s="235">
        <f t="shared" si="62"/>
        <v>0</v>
      </c>
      <c r="U153" s="235">
        <f t="shared" si="63"/>
        <v>-362.10150745940484</v>
      </c>
      <c r="V153" s="235">
        <f t="shared" si="64"/>
        <v>0</v>
      </c>
      <c r="W153" s="235">
        <f t="shared" si="65"/>
        <v>-362.10150745940484</v>
      </c>
      <c r="Y153" s="235">
        <f t="shared" si="66"/>
        <v>710.51092138841761</v>
      </c>
      <c r="Z153" s="235">
        <f t="shared" si="67"/>
        <v>177.6726385773913</v>
      </c>
      <c r="AA153" s="235">
        <f t="shared" si="68"/>
        <v>-710.51092138841761</v>
      </c>
      <c r="AB153" s="235">
        <f t="shared" si="69"/>
        <v>177.6726385773913</v>
      </c>
      <c r="AC153" s="235">
        <f t="shared" si="70"/>
        <v>-710.51092138841761</v>
      </c>
      <c r="AD153" s="235">
        <f t="shared" si="71"/>
        <v>-177.6726385773913</v>
      </c>
      <c r="AE153" s="235">
        <f t="shared" si="72"/>
        <v>710.51092138841761</v>
      </c>
      <c r="AF153" s="235">
        <f t="shared" si="73"/>
        <v>-177.6726385773913</v>
      </c>
    </row>
    <row r="154" spans="6:32" x14ac:dyDescent="0.25">
      <c r="F154">
        <f t="shared" si="74"/>
        <v>150</v>
      </c>
      <c r="G154" s="235">
        <f t="shared" si="50"/>
        <v>715.27945106216532</v>
      </c>
      <c r="H154" s="235">
        <f t="shared" si="51"/>
        <v>114.76635628539084</v>
      </c>
      <c r="I154" s="235">
        <f t="shared" si="52"/>
        <v>-715.27945106216532</v>
      </c>
      <c r="J154" s="235">
        <f t="shared" si="53"/>
        <v>114.76635628539084</v>
      </c>
      <c r="K154" s="235">
        <f t="shared" si="54"/>
        <v>-715.27945106216532</v>
      </c>
      <c r="L154" s="235">
        <f t="shared" si="55"/>
        <v>-114.76635628539084</v>
      </c>
      <c r="M154" s="235">
        <f t="shared" si="56"/>
        <v>715.27945106216532</v>
      </c>
      <c r="N154" s="235">
        <f t="shared" si="57"/>
        <v>-114.76635628539084</v>
      </c>
      <c r="P154" s="235">
        <f t="shared" si="58"/>
        <v>0</v>
      </c>
      <c r="Q154" s="235">
        <f t="shared" si="59"/>
        <v>362.10150745940484</v>
      </c>
      <c r="R154" s="235">
        <f t="shared" si="60"/>
        <v>0</v>
      </c>
      <c r="S154" s="235">
        <f t="shared" si="61"/>
        <v>362.10150745940484</v>
      </c>
      <c r="T154" s="235">
        <f t="shared" si="62"/>
        <v>0</v>
      </c>
      <c r="U154" s="235">
        <f t="shared" si="63"/>
        <v>-362.10150745940484</v>
      </c>
      <c r="V154" s="235">
        <f t="shared" si="64"/>
        <v>0</v>
      </c>
      <c r="W154" s="235">
        <f t="shared" si="65"/>
        <v>-362.10150745940484</v>
      </c>
      <c r="Y154" s="235">
        <f t="shared" si="66"/>
        <v>715.27945106216532</v>
      </c>
      <c r="Z154" s="235">
        <f t="shared" si="67"/>
        <v>173.85868321343361</v>
      </c>
      <c r="AA154" s="235">
        <f t="shared" si="68"/>
        <v>-715.27945106216532</v>
      </c>
      <c r="AB154" s="235">
        <f t="shared" si="69"/>
        <v>173.85868321343361</v>
      </c>
      <c r="AC154" s="235">
        <f t="shared" si="70"/>
        <v>-715.27945106216532</v>
      </c>
      <c r="AD154" s="235">
        <f t="shared" si="71"/>
        <v>-173.85868321343361</v>
      </c>
      <c r="AE154" s="235">
        <f t="shared" si="72"/>
        <v>715.27945106216532</v>
      </c>
      <c r="AF154" s="235">
        <f t="shared" si="73"/>
        <v>-173.85868321343361</v>
      </c>
    </row>
    <row r="155" spans="6:32" x14ac:dyDescent="0.25">
      <c r="F155">
        <f t="shared" si="74"/>
        <v>151</v>
      </c>
      <c r="G155" s="235">
        <f t="shared" si="50"/>
        <v>720.04798073591314</v>
      </c>
      <c r="H155" s="235">
        <f t="shared" si="51"/>
        <v>111.20998266918274</v>
      </c>
      <c r="I155" s="235">
        <f t="shared" si="52"/>
        <v>-720.04798073591314</v>
      </c>
      <c r="J155" s="235">
        <f t="shared" si="53"/>
        <v>111.20998266918274</v>
      </c>
      <c r="K155" s="235">
        <f t="shared" si="54"/>
        <v>-720.04798073591314</v>
      </c>
      <c r="L155" s="235">
        <f t="shared" si="55"/>
        <v>-111.20998266918274</v>
      </c>
      <c r="M155" s="235">
        <f t="shared" si="56"/>
        <v>720.04798073591314</v>
      </c>
      <c r="N155" s="235">
        <f t="shared" si="57"/>
        <v>-111.20998266918274</v>
      </c>
      <c r="P155" s="235">
        <f t="shared" si="58"/>
        <v>0</v>
      </c>
      <c r="Q155" s="235">
        <f t="shared" si="59"/>
        <v>362.10150745940484</v>
      </c>
      <c r="R155" s="235">
        <f t="shared" si="60"/>
        <v>0</v>
      </c>
      <c r="S155" s="235">
        <f t="shared" si="61"/>
        <v>362.10150745940484</v>
      </c>
      <c r="T155" s="235">
        <f t="shared" si="62"/>
        <v>0</v>
      </c>
      <c r="U155" s="235">
        <f t="shared" si="63"/>
        <v>-362.10150745940484</v>
      </c>
      <c r="V155" s="235">
        <f t="shared" si="64"/>
        <v>0</v>
      </c>
      <c r="W155" s="235">
        <f t="shared" si="65"/>
        <v>-362.10150745940484</v>
      </c>
      <c r="Y155" s="235">
        <f t="shared" si="66"/>
        <v>720.04798073591314</v>
      </c>
      <c r="Z155" s="235">
        <f t="shared" si="67"/>
        <v>169.93277759073223</v>
      </c>
      <c r="AA155" s="235">
        <f t="shared" si="68"/>
        <v>-720.04798073591314</v>
      </c>
      <c r="AB155" s="235">
        <f t="shared" si="69"/>
        <v>169.93277759073223</v>
      </c>
      <c r="AC155" s="235">
        <f t="shared" si="70"/>
        <v>-720.04798073591314</v>
      </c>
      <c r="AD155" s="235">
        <f t="shared" si="71"/>
        <v>-169.93277759073223</v>
      </c>
      <c r="AE155" s="235">
        <f t="shared" si="72"/>
        <v>720.04798073591314</v>
      </c>
      <c r="AF155" s="235">
        <f t="shared" si="73"/>
        <v>-169.93277759073223</v>
      </c>
    </row>
    <row r="156" spans="6:32" x14ac:dyDescent="0.25">
      <c r="F156">
        <f t="shared" si="74"/>
        <v>152</v>
      </c>
      <c r="G156" s="235">
        <f t="shared" si="50"/>
        <v>724.81651040966085</v>
      </c>
      <c r="H156" s="235">
        <f t="shared" si="51"/>
        <v>107.58371365372788</v>
      </c>
      <c r="I156" s="235">
        <f t="shared" si="52"/>
        <v>-724.81651040966085</v>
      </c>
      <c r="J156" s="235">
        <f t="shared" si="53"/>
        <v>107.58371365372788</v>
      </c>
      <c r="K156" s="235">
        <f t="shared" si="54"/>
        <v>-724.81651040966085</v>
      </c>
      <c r="L156" s="235">
        <f t="shared" si="55"/>
        <v>-107.58371365372788</v>
      </c>
      <c r="M156" s="235">
        <f t="shared" si="56"/>
        <v>724.81651040966085</v>
      </c>
      <c r="N156" s="235">
        <f t="shared" si="57"/>
        <v>-107.58371365372788</v>
      </c>
      <c r="P156" s="235">
        <f t="shared" si="58"/>
        <v>0</v>
      </c>
      <c r="Q156" s="235">
        <f t="shared" si="59"/>
        <v>362.10150745940484</v>
      </c>
      <c r="R156" s="235">
        <f t="shared" si="60"/>
        <v>0</v>
      </c>
      <c r="S156" s="235">
        <f t="shared" si="61"/>
        <v>362.10150745940484</v>
      </c>
      <c r="T156" s="235">
        <f t="shared" si="62"/>
        <v>0</v>
      </c>
      <c r="U156" s="235">
        <f t="shared" si="63"/>
        <v>-362.10150745940484</v>
      </c>
      <c r="V156" s="235">
        <f t="shared" si="64"/>
        <v>0</v>
      </c>
      <c r="W156" s="235">
        <f t="shared" si="65"/>
        <v>-362.10150745940484</v>
      </c>
      <c r="Y156" s="235">
        <f t="shared" si="66"/>
        <v>724.81651040966085</v>
      </c>
      <c r="Z156" s="235">
        <f t="shared" si="67"/>
        <v>165.88697360561196</v>
      </c>
      <c r="AA156" s="235">
        <f t="shared" si="68"/>
        <v>-724.81651040966085</v>
      </c>
      <c r="AB156" s="235">
        <f t="shared" si="69"/>
        <v>165.88697360561196</v>
      </c>
      <c r="AC156" s="235">
        <f t="shared" si="70"/>
        <v>-724.81651040966085</v>
      </c>
      <c r="AD156" s="235">
        <f t="shared" si="71"/>
        <v>-165.88697360561196</v>
      </c>
      <c r="AE156" s="235">
        <f t="shared" si="72"/>
        <v>724.81651040966085</v>
      </c>
      <c r="AF156" s="235">
        <f t="shared" si="73"/>
        <v>-165.88697360561196</v>
      </c>
    </row>
    <row r="157" spans="6:32" x14ac:dyDescent="0.25">
      <c r="F157">
        <f t="shared" si="74"/>
        <v>153</v>
      </c>
      <c r="G157" s="235">
        <f t="shared" si="50"/>
        <v>729.58504008340867</v>
      </c>
      <c r="H157" s="235">
        <f t="shared" si="51"/>
        <v>103.88299904935784</v>
      </c>
      <c r="I157" s="235">
        <f t="shared" si="52"/>
        <v>-729.58504008340867</v>
      </c>
      <c r="J157" s="235">
        <f t="shared" si="53"/>
        <v>103.88299904935784</v>
      </c>
      <c r="K157" s="235">
        <f t="shared" si="54"/>
        <v>-729.58504008340867</v>
      </c>
      <c r="L157" s="235">
        <f t="shared" si="55"/>
        <v>-103.88299904935784</v>
      </c>
      <c r="M157" s="235">
        <f t="shared" si="56"/>
        <v>729.58504008340867</v>
      </c>
      <c r="N157" s="235">
        <f t="shared" si="57"/>
        <v>-103.88299904935784</v>
      </c>
      <c r="P157" s="235">
        <f t="shared" si="58"/>
        <v>0</v>
      </c>
      <c r="Q157" s="235">
        <f t="shared" si="59"/>
        <v>362.10150745940484</v>
      </c>
      <c r="R157" s="235">
        <f t="shared" si="60"/>
        <v>0</v>
      </c>
      <c r="S157" s="235">
        <f t="shared" si="61"/>
        <v>362.10150745940484</v>
      </c>
      <c r="T157" s="235">
        <f t="shared" si="62"/>
        <v>0</v>
      </c>
      <c r="U157" s="235">
        <f t="shared" si="63"/>
        <v>-362.10150745940484</v>
      </c>
      <c r="V157" s="235">
        <f t="shared" si="64"/>
        <v>0</v>
      </c>
      <c r="W157" s="235">
        <f t="shared" si="65"/>
        <v>-362.10150745940484</v>
      </c>
      <c r="Y157" s="235">
        <f t="shared" si="66"/>
        <v>729.58504008340867</v>
      </c>
      <c r="Z157" s="235">
        <f t="shared" si="67"/>
        <v>161.71227246468405</v>
      </c>
      <c r="AA157" s="235">
        <f t="shared" si="68"/>
        <v>-729.58504008340867</v>
      </c>
      <c r="AB157" s="235">
        <f t="shared" si="69"/>
        <v>161.71227246468405</v>
      </c>
      <c r="AC157" s="235">
        <f t="shared" si="70"/>
        <v>-729.58504008340867</v>
      </c>
      <c r="AD157" s="235">
        <f t="shared" si="71"/>
        <v>-161.71227246468405</v>
      </c>
      <c r="AE157" s="235">
        <f t="shared" si="72"/>
        <v>729.58504008340867</v>
      </c>
      <c r="AF157" s="235">
        <f t="shared" si="73"/>
        <v>-161.71227246468405</v>
      </c>
    </row>
    <row r="158" spans="6:32" x14ac:dyDescent="0.25">
      <c r="F158">
        <f t="shared" si="74"/>
        <v>154</v>
      </c>
      <c r="G158" s="235">
        <f t="shared" si="50"/>
        <v>734.35356975715638</v>
      </c>
      <c r="H158" s="235">
        <f t="shared" si="51"/>
        <v>100.10269536993547</v>
      </c>
      <c r="I158" s="235">
        <f t="shared" si="52"/>
        <v>-734.35356975715638</v>
      </c>
      <c r="J158" s="235">
        <f t="shared" si="53"/>
        <v>100.10269536993547</v>
      </c>
      <c r="K158" s="235">
        <f t="shared" si="54"/>
        <v>-734.35356975715638</v>
      </c>
      <c r="L158" s="235">
        <f t="shared" si="55"/>
        <v>-100.10269536993547</v>
      </c>
      <c r="M158" s="235">
        <f t="shared" si="56"/>
        <v>734.35356975715638</v>
      </c>
      <c r="N158" s="235">
        <f t="shared" si="57"/>
        <v>-100.10269536993547</v>
      </c>
      <c r="P158" s="235">
        <f t="shared" si="58"/>
        <v>0</v>
      </c>
      <c r="Q158" s="235">
        <f t="shared" si="59"/>
        <v>362.10150745940484</v>
      </c>
      <c r="R158" s="235">
        <f t="shared" si="60"/>
        <v>0</v>
      </c>
      <c r="S158" s="235">
        <f t="shared" si="61"/>
        <v>362.10150745940484</v>
      </c>
      <c r="T158" s="235">
        <f t="shared" si="62"/>
        <v>0</v>
      </c>
      <c r="U158" s="235">
        <f t="shared" si="63"/>
        <v>-362.10150745940484</v>
      </c>
      <c r="V158" s="235">
        <f t="shared" si="64"/>
        <v>0</v>
      </c>
      <c r="W158" s="235">
        <f t="shared" si="65"/>
        <v>-362.10150745940484</v>
      </c>
      <c r="Y158" s="235">
        <f t="shared" si="66"/>
        <v>734.35356975715638</v>
      </c>
      <c r="Z158" s="235">
        <f t="shared" si="67"/>
        <v>157.39841822804618</v>
      </c>
      <c r="AA158" s="235">
        <f t="shared" si="68"/>
        <v>-734.35356975715638</v>
      </c>
      <c r="AB158" s="235">
        <f t="shared" si="69"/>
        <v>157.39841822804618</v>
      </c>
      <c r="AC158" s="235">
        <f t="shared" si="70"/>
        <v>-734.35356975715638</v>
      </c>
      <c r="AD158" s="235">
        <f t="shared" si="71"/>
        <v>-157.39841822804618</v>
      </c>
      <c r="AE158" s="235">
        <f t="shared" si="72"/>
        <v>734.35356975715638</v>
      </c>
      <c r="AF158" s="235">
        <f t="shared" si="73"/>
        <v>-157.39841822804618</v>
      </c>
    </row>
    <row r="159" spans="6:32" x14ac:dyDescent="0.25">
      <c r="F159">
        <f t="shared" si="74"/>
        <v>155</v>
      </c>
      <c r="G159" s="235">
        <f t="shared" si="50"/>
        <v>739.1220994309042</v>
      </c>
      <c r="H159" s="235">
        <f t="shared" si="51"/>
        <v>96.236948617080685</v>
      </c>
      <c r="I159" s="235">
        <f t="shared" si="52"/>
        <v>-739.1220994309042</v>
      </c>
      <c r="J159" s="235">
        <f t="shared" si="53"/>
        <v>96.236948617080685</v>
      </c>
      <c r="K159" s="235">
        <f t="shared" si="54"/>
        <v>-739.1220994309042</v>
      </c>
      <c r="L159" s="235">
        <f t="shared" si="55"/>
        <v>-96.236948617080685</v>
      </c>
      <c r="M159" s="235">
        <f t="shared" si="56"/>
        <v>739.1220994309042</v>
      </c>
      <c r="N159" s="235">
        <f t="shared" si="57"/>
        <v>-96.236948617080685</v>
      </c>
      <c r="P159" s="235">
        <f t="shared" si="58"/>
        <v>0</v>
      </c>
      <c r="Q159" s="235">
        <f t="shared" si="59"/>
        <v>362.10150745940484</v>
      </c>
      <c r="R159" s="235">
        <f t="shared" si="60"/>
        <v>0</v>
      </c>
      <c r="S159" s="235">
        <f t="shared" si="61"/>
        <v>362.10150745940484</v>
      </c>
      <c r="T159" s="235">
        <f t="shared" si="62"/>
        <v>0</v>
      </c>
      <c r="U159" s="235">
        <f t="shared" si="63"/>
        <v>-362.10150745940484</v>
      </c>
      <c r="V159" s="235">
        <f t="shared" si="64"/>
        <v>0</v>
      </c>
      <c r="W159" s="235">
        <f t="shared" si="65"/>
        <v>-362.10150745940484</v>
      </c>
      <c r="Y159" s="235">
        <f t="shared" si="66"/>
        <v>739.1220994309042</v>
      </c>
      <c r="Z159" s="235">
        <f t="shared" si="67"/>
        <v>152.933635924296</v>
      </c>
      <c r="AA159" s="235">
        <f t="shared" si="68"/>
        <v>-739.1220994309042</v>
      </c>
      <c r="AB159" s="235">
        <f t="shared" si="69"/>
        <v>152.933635924296</v>
      </c>
      <c r="AC159" s="235">
        <f t="shared" si="70"/>
        <v>-739.1220994309042</v>
      </c>
      <c r="AD159" s="235">
        <f t="shared" si="71"/>
        <v>-152.933635924296</v>
      </c>
      <c r="AE159" s="235">
        <f t="shared" si="72"/>
        <v>739.1220994309042</v>
      </c>
      <c r="AF159" s="235">
        <f t="shared" si="73"/>
        <v>-152.933635924296</v>
      </c>
    </row>
    <row r="160" spans="6:32" x14ac:dyDescent="0.25">
      <c r="F160">
        <f t="shared" si="74"/>
        <v>156</v>
      </c>
      <c r="G160" s="235">
        <f t="shared" si="50"/>
        <v>743.89062910465191</v>
      </c>
      <c r="H160" s="235">
        <f t="shared" si="51"/>
        <v>92.27904496848673</v>
      </c>
      <c r="I160" s="235">
        <f t="shared" si="52"/>
        <v>-743.89062910465191</v>
      </c>
      <c r="J160" s="235">
        <f t="shared" si="53"/>
        <v>92.27904496848673</v>
      </c>
      <c r="K160" s="235">
        <f t="shared" si="54"/>
        <v>-743.89062910465191</v>
      </c>
      <c r="L160" s="235">
        <f t="shared" si="55"/>
        <v>-92.27904496848673</v>
      </c>
      <c r="M160" s="235">
        <f t="shared" si="56"/>
        <v>743.89062910465191</v>
      </c>
      <c r="N160" s="235">
        <f t="shared" si="57"/>
        <v>-92.27904496848673</v>
      </c>
      <c r="P160" s="235">
        <f t="shared" si="58"/>
        <v>0</v>
      </c>
      <c r="Q160" s="235">
        <f t="shared" si="59"/>
        <v>362.10150745940484</v>
      </c>
      <c r="R160" s="235">
        <f t="shared" si="60"/>
        <v>0</v>
      </c>
      <c r="S160" s="235">
        <f t="shared" si="61"/>
        <v>362.10150745940484</v>
      </c>
      <c r="T160" s="235">
        <f t="shared" si="62"/>
        <v>0</v>
      </c>
      <c r="U160" s="235">
        <f t="shared" si="63"/>
        <v>-362.10150745940484</v>
      </c>
      <c r="V160" s="235">
        <f t="shared" si="64"/>
        <v>0</v>
      </c>
      <c r="W160" s="235">
        <f t="shared" si="65"/>
        <v>-362.10150745940484</v>
      </c>
      <c r="Y160" s="235">
        <f t="shared" si="66"/>
        <v>743.89062910465191</v>
      </c>
      <c r="Z160" s="235">
        <f t="shared" si="67"/>
        <v>148.30429486260627</v>
      </c>
      <c r="AA160" s="235">
        <f t="shared" si="68"/>
        <v>-743.89062910465191</v>
      </c>
      <c r="AB160" s="235">
        <f t="shared" si="69"/>
        <v>148.30429486260627</v>
      </c>
      <c r="AC160" s="235">
        <f t="shared" si="70"/>
        <v>-743.89062910465191</v>
      </c>
      <c r="AD160" s="235">
        <f t="shared" si="71"/>
        <v>-148.30429486260627</v>
      </c>
      <c r="AE160" s="235">
        <f t="shared" si="72"/>
        <v>743.89062910465191</v>
      </c>
      <c r="AF160" s="235">
        <f t="shared" si="73"/>
        <v>-148.30429486260627</v>
      </c>
    </row>
    <row r="161" spans="6:32" x14ac:dyDescent="0.25">
      <c r="F161">
        <f t="shared" si="74"/>
        <v>157</v>
      </c>
      <c r="G161" s="235">
        <f t="shared" si="50"/>
        <v>748.65915877839973</v>
      </c>
      <c r="H161" s="235">
        <f t="shared" si="51"/>
        <v>88.2212178064851</v>
      </c>
      <c r="I161" s="235">
        <f t="shared" si="52"/>
        <v>-748.65915877839973</v>
      </c>
      <c r="J161" s="235">
        <f t="shared" si="53"/>
        <v>88.2212178064851</v>
      </c>
      <c r="K161" s="235">
        <f t="shared" si="54"/>
        <v>-748.65915877839973</v>
      </c>
      <c r="L161" s="235">
        <f t="shared" si="55"/>
        <v>-88.2212178064851</v>
      </c>
      <c r="M161" s="235">
        <f t="shared" si="56"/>
        <v>748.65915877839973</v>
      </c>
      <c r="N161" s="235">
        <f t="shared" si="57"/>
        <v>-88.2212178064851</v>
      </c>
      <c r="P161" s="235">
        <f t="shared" si="58"/>
        <v>0</v>
      </c>
      <c r="Q161" s="235">
        <f t="shared" si="59"/>
        <v>362.10150745940484</v>
      </c>
      <c r="R161" s="235">
        <f t="shared" si="60"/>
        <v>0</v>
      </c>
      <c r="S161" s="235">
        <f t="shared" si="61"/>
        <v>362.10150745940484</v>
      </c>
      <c r="T161" s="235">
        <f t="shared" si="62"/>
        <v>0</v>
      </c>
      <c r="U161" s="235">
        <f t="shared" si="63"/>
        <v>-362.10150745940484</v>
      </c>
      <c r="V161" s="235">
        <f t="shared" si="64"/>
        <v>0</v>
      </c>
      <c r="W161" s="235">
        <f t="shared" si="65"/>
        <v>-362.10150745940484</v>
      </c>
      <c r="Y161" s="235">
        <f t="shared" si="66"/>
        <v>748.65915877839973</v>
      </c>
      <c r="Z161" s="235">
        <f t="shared" si="67"/>
        <v>143.49446920944396</v>
      </c>
      <c r="AA161" s="235">
        <f t="shared" si="68"/>
        <v>-748.65915877839973</v>
      </c>
      <c r="AB161" s="235">
        <f t="shared" si="69"/>
        <v>143.49446920944396</v>
      </c>
      <c r="AC161" s="235">
        <f t="shared" si="70"/>
        <v>-748.65915877839973</v>
      </c>
      <c r="AD161" s="235">
        <f t="shared" si="71"/>
        <v>-143.49446920944396</v>
      </c>
      <c r="AE161" s="235">
        <f t="shared" si="72"/>
        <v>748.65915877839973</v>
      </c>
      <c r="AF161" s="235">
        <f t="shared" si="73"/>
        <v>-143.49446920944396</v>
      </c>
    </row>
    <row r="162" spans="6:32" x14ac:dyDescent="0.25">
      <c r="F162">
        <f t="shared" si="74"/>
        <v>158</v>
      </c>
      <c r="G162" s="235">
        <f t="shared" si="50"/>
        <v>753.42768845214755</v>
      </c>
      <c r="H162" s="235">
        <f t="shared" si="51"/>
        <v>84.05439421041163</v>
      </c>
      <c r="I162" s="235">
        <f t="shared" si="52"/>
        <v>-753.42768845214755</v>
      </c>
      <c r="J162" s="235">
        <f t="shared" si="53"/>
        <v>84.05439421041163</v>
      </c>
      <c r="K162" s="235">
        <f t="shared" si="54"/>
        <v>-753.42768845214755</v>
      </c>
      <c r="L162" s="235">
        <f t="shared" si="55"/>
        <v>-84.05439421041163</v>
      </c>
      <c r="M162" s="235">
        <f t="shared" si="56"/>
        <v>753.42768845214755</v>
      </c>
      <c r="N162" s="235">
        <f t="shared" si="57"/>
        <v>-84.05439421041163</v>
      </c>
      <c r="P162" s="235">
        <f t="shared" si="58"/>
        <v>0</v>
      </c>
      <c r="Q162" s="235">
        <f t="shared" si="59"/>
        <v>362.10150745940484</v>
      </c>
      <c r="R162" s="235">
        <f t="shared" si="60"/>
        <v>0</v>
      </c>
      <c r="S162" s="235">
        <f t="shared" si="61"/>
        <v>362.10150745940484</v>
      </c>
      <c r="T162" s="235">
        <f t="shared" si="62"/>
        <v>0</v>
      </c>
      <c r="U162" s="235">
        <f t="shared" si="63"/>
        <v>-362.10150745940484</v>
      </c>
      <c r="V162" s="235">
        <f t="shared" si="64"/>
        <v>0</v>
      </c>
      <c r="W162" s="235">
        <f t="shared" si="65"/>
        <v>-362.10150745940484</v>
      </c>
      <c r="Y162" s="235">
        <f t="shared" si="66"/>
        <v>753.42768845214755</v>
      </c>
      <c r="Z162" s="235">
        <f t="shared" si="67"/>
        <v>138.48535465543173</v>
      </c>
      <c r="AA162" s="235">
        <f t="shared" si="68"/>
        <v>-753.42768845214755</v>
      </c>
      <c r="AB162" s="235">
        <f t="shared" si="69"/>
        <v>138.48535465543173</v>
      </c>
      <c r="AC162" s="235">
        <f t="shared" si="70"/>
        <v>-753.42768845214755</v>
      </c>
      <c r="AD162" s="235">
        <f t="shared" si="71"/>
        <v>-138.48535465543173</v>
      </c>
      <c r="AE162" s="235">
        <f t="shared" si="72"/>
        <v>753.42768845214755</v>
      </c>
      <c r="AF162" s="235">
        <f t="shared" si="73"/>
        <v>-138.48535465543173</v>
      </c>
    </row>
    <row r="163" spans="6:32" x14ac:dyDescent="0.25">
      <c r="F163">
        <f t="shared" si="74"/>
        <v>159</v>
      </c>
      <c r="G163" s="235">
        <f t="shared" si="50"/>
        <v>758.19621812589537</v>
      </c>
      <c r="H163" s="235">
        <f t="shared" si="51"/>
        <v>79.767855673039406</v>
      </c>
      <c r="I163" s="235">
        <f t="shared" si="52"/>
        <v>-758.19621812589537</v>
      </c>
      <c r="J163" s="235">
        <f t="shared" si="53"/>
        <v>79.767855673039406</v>
      </c>
      <c r="K163" s="235">
        <f t="shared" si="54"/>
        <v>-758.19621812589537</v>
      </c>
      <c r="L163" s="235">
        <f t="shared" si="55"/>
        <v>-79.767855673039406</v>
      </c>
      <c r="M163" s="235">
        <f t="shared" si="56"/>
        <v>758.19621812589537</v>
      </c>
      <c r="N163" s="235">
        <f t="shared" si="57"/>
        <v>-79.767855673039406</v>
      </c>
      <c r="P163" s="235">
        <f t="shared" si="58"/>
        <v>0</v>
      </c>
      <c r="Q163" s="235">
        <f t="shared" si="59"/>
        <v>362.10150745940484</v>
      </c>
      <c r="R163" s="235">
        <f t="shared" si="60"/>
        <v>0</v>
      </c>
      <c r="S163" s="235">
        <f t="shared" si="61"/>
        <v>362.10150745940484</v>
      </c>
      <c r="T163" s="235">
        <f t="shared" si="62"/>
        <v>0</v>
      </c>
      <c r="U163" s="235">
        <f t="shared" si="63"/>
        <v>-362.10150745940484</v>
      </c>
      <c r="V163" s="235">
        <f t="shared" si="64"/>
        <v>0</v>
      </c>
      <c r="W163" s="235">
        <f t="shared" si="65"/>
        <v>-362.10150745940484</v>
      </c>
      <c r="Y163" s="235">
        <f t="shared" si="66"/>
        <v>758.19621812589537</v>
      </c>
      <c r="Z163" s="235">
        <f t="shared" si="67"/>
        <v>133.2544789330434</v>
      </c>
      <c r="AA163" s="235">
        <f t="shared" si="68"/>
        <v>-758.19621812589537</v>
      </c>
      <c r="AB163" s="235">
        <f t="shared" si="69"/>
        <v>133.2544789330434</v>
      </c>
      <c r="AC163" s="235">
        <f t="shared" si="70"/>
        <v>-758.19621812589537</v>
      </c>
      <c r="AD163" s="235">
        <f t="shared" si="71"/>
        <v>-133.2544789330434</v>
      </c>
      <c r="AE163" s="235">
        <f t="shared" si="72"/>
        <v>758.19621812589537</v>
      </c>
      <c r="AF163" s="235">
        <f t="shared" si="73"/>
        <v>-133.2544789330434</v>
      </c>
    </row>
    <row r="164" spans="6:32" x14ac:dyDescent="0.25">
      <c r="F164">
        <f t="shared" si="74"/>
        <v>160</v>
      </c>
      <c r="G164" s="235">
        <f t="shared" si="50"/>
        <v>762.96474779964308</v>
      </c>
      <c r="H164" s="235">
        <f t="shared" si="51"/>
        <v>75.348774224975699</v>
      </c>
      <c r="I164" s="235">
        <f t="shared" si="52"/>
        <v>-762.96474779964308</v>
      </c>
      <c r="J164" s="235">
        <f t="shared" si="53"/>
        <v>75.348774224975699</v>
      </c>
      <c r="K164" s="235">
        <f t="shared" si="54"/>
        <v>-762.96474779964308</v>
      </c>
      <c r="L164" s="235">
        <f t="shared" si="55"/>
        <v>-75.348774224975699</v>
      </c>
      <c r="M164" s="235">
        <f t="shared" si="56"/>
        <v>762.96474779964308</v>
      </c>
      <c r="N164" s="235">
        <f t="shared" si="57"/>
        <v>-75.348774224975699</v>
      </c>
      <c r="P164" s="235">
        <f t="shared" si="58"/>
        <v>0</v>
      </c>
      <c r="Q164" s="235">
        <f t="shared" si="59"/>
        <v>362.10150745940484</v>
      </c>
      <c r="R164" s="235">
        <f t="shared" si="60"/>
        <v>0</v>
      </c>
      <c r="S164" s="235">
        <f t="shared" si="61"/>
        <v>362.10150745940484</v>
      </c>
      <c r="T164" s="235">
        <f t="shared" si="62"/>
        <v>0</v>
      </c>
      <c r="U164" s="235">
        <f t="shared" si="63"/>
        <v>-362.10150745940484</v>
      </c>
      <c r="V164" s="235">
        <f t="shared" si="64"/>
        <v>0</v>
      </c>
      <c r="W164" s="235">
        <f t="shared" si="65"/>
        <v>-362.10150745940484</v>
      </c>
      <c r="Y164" s="235">
        <f t="shared" si="66"/>
        <v>762.96474779964308</v>
      </c>
      <c r="Z164" s="235">
        <f t="shared" si="67"/>
        <v>127.77460936637074</v>
      </c>
      <c r="AA164" s="235">
        <f t="shared" si="68"/>
        <v>-762.96474779964308</v>
      </c>
      <c r="AB164" s="235">
        <f t="shared" si="69"/>
        <v>127.77460936637074</v>
      </c>
      <c r="AC164" s="235">
        <f t="shared" si="70"/>
        <v>-762.96474779964308</v>
      </c>
      <c r="AD164" s="235">
        <f t="shared" si="71"/>
        <v>-127.77460936637074</v>
      </c>
      <c r="AE164" s="235">
        <f t="shared" si="72"/>
        <v>762.96474779964308</v>
      </c>
      <c r="AF164" s="235">
        <f t="shared" si="73"/>
        <v>-127.77460936637074</v>
      </c>
    </row>
    <row r="165" spans="6:32" x14ac:dyDescent="0.25">
      <c r="F165">
        <f t="shared" si="74"/>
        <v>161</v>
      </c>
      <c r="G165" s="235">
        <f t="shared" si="50"/>
        <v>767.7332774733909</v>
      </c>
      <c r="H165" s="235">
        <f t="shared" si="51"/>
        <v>70.781562320194112</v>
      </c>
      <c r="I165" s="235">
        <f t="shared" si="52"/>
        <v>-767.7332774733909</v>
      </c>
      <c r="J165" s="235">
        <f t="shared" si="53"/>
        <v>70.781562320194112</v>
      </c>
      <c r="K165" s="235">
        <f t="shared" si="54"/>
        <v>-767.7332774733909</v>
      </c>
      <c r="L165" s="235">
        <f t="shared" si="55"/>
        <v>-70.781562320194112</v>
      </c>
      <c r="M165" s="235">
        <f t="shared" si="56"/>
        <v>767.7332774733909</v>
      </c>
      <c r="N165" s="235">
        <f t="shared" si="57"/>
        <v>-70.781562320194112</v>
      </c>
      <c r="P165" s="235">
        <f t="shared" si="58"/>
        <v>0</v>
      </c>
      <c r="Q165" s="235">
        <f t="shared" si="59"/>
        <v>362.10150745940484</v>
      </c>
      <c r="R165" s="235">
        <f t="shared" si="60"/>
        <v>0</v>
      </c>
      <c r="S165" s="235">
        <f t="shared" si="61"/>
        <v>362.10150745940484</v>
      </c>
      <c r="T165" s="235">
        <f t="shared" si="62"/>
        <v>0</v>
      </c>
      <c r="U165" s="235">
        <f t="shared" si="63"/>
        <v>-362.10150745940484</v>
      </c>
      <c r="V165" s="235">
        <f t="shared" si="64"/>
        <v>0</v>
      </c>
      <c r="W165" s="235">
        <f t="shared" si="65"/>
        <v>-362.10150745940484</v>
      </c>
      <c r="Y165" s="235">
        <f t="shared" si="66"/>
        <v>767.7332774733909</v>
      </c>
      <c r="Z165" s="235">
        <f t="shared" si="67"/>
        <v>122.01220177947685</v>
      </c>
      <c r="AA165" s="235">
        <f t="shared" si="68"/>
        <v>-767.7332774733909</v>
      </c>
      <c r="AB165" s="235">
        <f t="shared" si="69"/>
        <v>122.01220177947685</v>
      </c>
      <c r="AC165" s="235">
        <f t="shared" si="70"/>
        <v>-767.7332774733909</v>
      </c>
      <c r="AD165" s="235">
        <f t="shared" si="71"/>
        <v>-122.01220177947685</v>
      </c>
      <c r="AE165" s="235">
        <f t="shared" si="72"/>
        <v>767.7332774733909</v>
      </c>
      <c r="AF165" s="235">
        <f t="shared" si="73"/>
        <v>-122.01220177947685</v>
      </c>
    </row>
    <row r="166" spans="6:32" x14ac:dyDescent="0.25">
      <c r="F166">
        <f t="shared" si="74"/>
        <v>162</v>
      </c>
      <c r="G166" s="235">
        <f t="shared" si="50"/>
        <v>772.50180714713861</v>
      </c>
      <c r="H166" s="235">
        <f t="shared" si="51"/>
        <v>66.046934834702157</v>
      </c>
      <c r="I166" s="235">
        <f t="shared" si="52"/>
        <v>-772.50180714713861</v>
      </c>
      <c r="J166" s="235">
        <f t="shared" si="53"/>
        <v>66.046934834702157</v>
      </c>
      <c r="K166" s="235">
        <f t="shared" si="54"/>
        <v>-772.50180714713861</v>
      </c>
      <c r="L166" s="235">
        <f t="shared" si="55"/>
        <v>-66.046934834702157</v>
      </c>
      <c r="M166" s="235">
        <f t="shared" si="56"/>
        <v>772.50180714713861</v>
      </c>
      <c r="N166" s="235">
        <f t="shared" si="57"/>
        <v>-66.046934834702157</v>
      </c>
      <c r="P166" s="235">
        <f t="shared" si="58"/>
        <v>0</v>
      </c>
      <c r="Q166" s="235">
        <f t="shared" si="59"/>
        <v>362.10150745940484</v>
      </c>
      <c r="R166" s="235">
        <f t="shared" si="60"/>
        <v>0</v>
      </c>
      <c r="S166" s="235">
        <f t="shared" si="61"/>
        <v>362.10150745940484</v>
      </c>
      <c r="T166" s="235">
        <f t="shared" si="62"/>
        <v>0</v>
      </c>
      <c r="U166" s="235">
        <f t="shared" si="63"/>
        <v>-362.10150745940484</v>
      </c>
      <c r="V166" s="235">
        <f t="shared" si="64"/>
        <v>0</v>
      </c>
      <c r="W166" s="235">
        <f t="shared" si="65"/>
        <v>-362.10150745940484</v>
      </c>
      <c r="Y166" s="235">
        <f t="shared" si="66"/>
        <v>772.50180714713861</v>
      </c>
      <c r="Z166" s="235">
        <f t="shared" si="67"/>
        <v>115.92513061781951</v>
      </c>
      <c r="AA166" s="235">
        <f t="shared" si="68"/>
        <v>-772.50180714713861</v>
      </c>
      <c r="AB166" s="235">
        <f t="shared" si="69"/>
        <v>115.92513061781951</v>
      </c>
      <c r="AC166" s="235">
        <f t="shared" si="70"/>
        <v>-772.50180714713861</v>
      </c>
      <c r="AD166" s="235">
        <f t="shared" si="71"/>
        <v>-115.92513061781951</v>
      </c>
      <c r="AE166" s="235">
        <f t="shared" si="72"/>
        <v>772.50180714713861</v>
      </c>
      <c r="AF166" s="235">
        <f t="shared" si="73"/>
        <v>-115.92513061781951</v>
      </c>
    </row>
    <row r="167" spans="6:32" x14ac:dyDescent="0.25">
      <c r="F167">
        <f t="shared" si="74"/>
        <v>163</v>
      </c>
      <c r="G167" s="235">
        <f t="shared" si="50"/>
        <v>777.27033682088643</v>
      </c>
      <c r="H167" s="235">
        <f t="shared" si="51"/>
        <v>61.120507974838212</v>
      </c>
      <c r="I167" s="235">
        <f t="shared" si="52"/>
        <v>-777.27033682088643</v>
      </c>
      <c r="J167" s="235">
        <f t="shared" si="53"/>
        <v>61.120507974838212</v>
      </c>
      <c r="K167" s="235">
        <f t="shared" si="54"/>
        <v>-777.27033682088643</v>
      </c>
      <c r="L167" s="235">
        <f t="shared" si="55"/>
        <v>-61.120507974838212</v>
      </c>
      <c r="M167" s="235">
        <f t="shared" si="56"/>
        <v>777.27033682088643</v>
      </c>
      <c r="N167" s="235">
        <f t="shared" si="57"/>
        <v>-61.120507974838212</v>
      </c>
      <c r="P167" s="235">
        <f t="shared" si="58"/>
        <v>0</v>
      </c>
      <c r="Q167" s="235">
        <f t="shared" si="59"/>
        <v>362.10150745940484</v>
      </c>
      <c r="R167" s="235">
        <f t="shared" si="60"/>
        <v>0</v>
      </c>
      <c r="S167" s="235">
        <f t="shared" si="61"/>
        <v>362.10150745940484</v>
      </c>
      <c r="T167" s="235">
        <f t="shared" si="62"/>
        <v>0</v>
      </c>
      <c r="U167" s="235">
        <f t="shared" si="63"/>
        <v>-362.10150745940484</v>
      </c>
      <c r="V167" s="235">
        <f t="shared" si="64"/>
        <v>0</v>
      </c>
      <c r="W167" s="235">
        <f t="shared" si="65"/>
        <v>-362.10150745940484</v>
      </c>
      <c r="Y167" s="235">
        <f t="shared" si="66"/>
        <v>777.27033682088643</v>
      </c>
      <c r="Z167" s="235">
        <f t="shared" si="67"/>
        <v>109.45924527319137</v>
      </c>
      <c r="AA167" s="235">
        <f t="shared" si="68"/>
        <v>-777.27033682088643</v>
      </c>
      <c r="AB167" s="235">
        <f t="shared" si="69"/>
        <v>109.45924527319137</v>
      </c>
      <c r="AC167" s="235">
        <f t="shared" si="70"/>
        <v>-777.27033682088643</v>
      </c>
      <c r="AD167" s="235">
        <f t="shared" si="71"/>
        <v>-109.45924527319137</v>
      </c>
      <c r="AE167" s="235">
        <f t="shared" si="72"/>
        <v>777.27033682088643</v>
      </c>
      <c r="AF167" s="235">
        <f t="shared" si="73"/>
        <v>-109.45924527319137</v>
      </c>
    </row>
    <row r="168" spans="6:32" x14ac:dyDescent="0.25">
      <c r="F168">
        <f t="shared" si="74"/>
        <v>164</v>
      </c>
      <c r="G168" s="235">
        <f t="shared" si="50"/>
        <v>782.03886649463414</v>
      </c>
      <c r="H168" s="235">
        <f t="shared" si="51"/>
        <v>55.970616576793901</v>
      </c>
      <c r="I168" s="235">
        <f t="shared" si="52"/>
        <v>-782.03886649463414</v>
      </c>
      <c r="J168" s="235">
        <f t="shared" si="53"/>
        <v>55.970616576793901</v>
      </c>
      <c r="K168" s="235">
        <f t="shared" si="54"/>
        <v>-782.03886649463414</v>
      </c>
      <c r="L168" s="235">
        <f t="shared" si="55"/>
        <v>-55.970616576793901</v>
      </c>
      <c r="M168" s="235">
        <f t="shared" si="56"/>
        <v>782.03886649463414</v>
      </c>
      <c r="N168" s="235">
        <f t="shared" si="57"/>
        <v>-55.970616576793901</v>
      </c>
      <c r="P168" s="235">
        <f t="shared" si="58"/>
        <v>0</v>
      </c>
      <c r="Q168" s="235">
        <f t="shared" si="59"/>
        <v>362.10150745940484</v>
      </c>
      <c r="R168" s="235">
        <f t="shared" si="60"/>
        <v>0</v>
      </c>
      <c r="S168" s="235">
        <f t="shared" si="61"/>
        <v>362.10150745940484</v>
      </c>
      <c r="T168" s="235">
        <f t="shared" si="62"/>
        <v>0</v>
      </c>
      <c r="U168" s="235">
        <f t="shared" si="63"/>
        <v>-362.10150745940484</v>
      </c>
      <c r="V168" s="235">
        <f t="shared" si="64"/>
        <v>0</v>
      </c>
      <c r="W168" s="235">
        <f t="shared" si="65"/>
        <v>-362.10150745940484</v>
      </c>
      <c r="Y168" s="235">
        <f t="shared" si="66"/>
        <v>782.03886649463414</v>
      </c>
      <c r="Z168" s="235">
        <f t="shared" si="67"/>
        <v>102.54291191559935</v>
      </c>
      <c r="AA168" s="235">
        <f t="shared" si="68"/>
        <v>-782.03886649463414</v>
      </c>
      <c r="AB168" s="235">
        <f t="shared" si="69"/>
        <v>102.54291191559935</v>
      </c>
      <c r="AC168" s="235">
        <f t="shared" si="70"/>
        <v>-782.03886649463414</v>
      </c>
      <c r="AD168" s="235">
        <f t="shared" si="71"/>
        <v>-102.54291191559935</v>
      </c>
      <c r="AE168" s="235">
        <f t="shared" si="72"/>
        <v>782.03886649463414</v>
      </c>
      <c r="AF168" s="235">
        <f t="shared" si="73"/>
        <v>-102.54291191559935</v>
      </c>
    </row>
    <row r="169" spans="6:32" x14ac:dyDescent="0.25">
      <c r="F169">
        <f t="shared" si="74"/>
        <v>165</v>
      </c>
      <c r="G169" s="235">
        <f t="shared" si="50"/>
        <v>786.80739616838196</v>
      </c>
      <c r="H169" s="235">
        <f t="shared" si="51"/>
        <v>50.5547315812832</v>
      </c>
      <c r="I169" s="235">
        <f t="shared" si="52"/>
        <v>-786.80739616838196</v>
      </c>
      <c r="J169" s="235">
        <f t="shared" si="53"/>
        <v>50.5547315812832</v>
      </c>
      <c r="K169" s="235">
        <f t="shared" si="54"/>
        <v>-786.80739616838196</v>
      </c>
      <c r="L169" s="235">
        <f t="shared" si="55"/>
        <v>-50.5547315812832</v>
      </c>
      <c r="M169" s="235">
        <f t="shared" si="56"/>
        <v>786.80739616838196</v>
      </c>
      <c r="N169" s="235">
        <f t="shared" si="57"/>
        <v>-50.5547315812832</v>
      </c>
      <c r="P169" s="235">
        <f t="shared" si="58"/>
        <v>0</v>
      </c>
      <c r="Q169" s="235">
        <f t="shared" si="59"/>
        <v>362.10150745940484</v>
      </c>
      <c r="R169" s="235">
        <f t="shared" si="60"/>
        <v>0</v>
      </c>
      <c r="S169" s="235">
        <f t="shared" si="61"/>
        <v>362.10150745940484</v>
      </c>
      <c r="T169" s="235">
        <f t="shared" si="62"/>
        <v>0</v>
      </c>
      <c r="U169" s="235">
        <f t="shared" si="63"/>
        <v>-362.10150745940484</v>
      </c>
      <c r="V169" s="235">
        <f t="shared" si="64"/>
        <v>0</v>
      </c>
      <c r="W169" s="235">
        <f t="shared" si="65"/>
        <v>-362.10150745940484</v>
      </c>
      <c r="Y169" s="235">
        <f t="shared" si="66"/>
        <v>786.80739616838196</v>
      </c>
      <c r="Z169" s="235">
        <f t="shared" si="67"/>
        <v>95.077879308593808</v>
      </c>
      <c r="AA169" s="235">
        <f t="shared" si="68"/>
        <v>-786.80739616838196</v>
      </c>
      <c r="AB169" s="235">
        <f t="shared" si="69"/>
        <v>95.077879308593808</v>
      </c>
      <c r="AC169" s="235">
        <f t="shared" si="70"/>
        <v>-786.80739616838196</v>
      </c>
      <c r="AD169" s="235">
        <f t="shared" si="71"/>
        <v>-95.077879308593808</v>
      </c>
      <c r="AE169" s="235">
        <f t="shared" si="72"/>
        <v>786.80739616838196</v>
      </c>
      <c r="AF169" s="235">
        <f t="shared" si="73"/>
        <v>-95.077879308593808</v>
      </c>
    </row>
    <row r="170" spans="6:32" x14ac:dyDescent="0.25">
      <c r="F170">
        <f t="shared" si="74"/>
        <v>166</v>
      </c>
      <c r="G170" s="235">
        <f t="shared" si="50"/>
        <v>791.57592584212966</v>
      </c>
      <c r="H170" s="235">
        <f t="shared" si="51"/>
        <v>44.813174595073221</v>
      </c>
      <c r="I170" s="235">
        <f t="shared" si="52"/>
        <v>-791.57592584212966</v>
      </c>
      <c r="J170" s="235">
        <f t="shared" si="53"/>
        <v>44.813174595073221</v>
      </c>
      <c r="K170" s="235">
        <f t="shared" si="54"/>
        <v>-791.57592584212966</v>
      </c>
      <c r="L170" s="235">
        <f t="shared" si="55"/>
        <v>-44.813174595073221</v>
      </c>
      <c r="M170" s="235">
        <f t="shared" si="56"/>
        <v>791.57592584212966</v>
      </c>
      <c r="N170" s="235">
        <f t="shared" si="57"/>
        <v>-44.813174595073221</v>
      </c>
      <c r="P170" s="235">
        <f t="shared" si="58"/>
        <v>0</v>
      </c>
      <c r="Q170" s="235">
        <f t="shared" si="59"/>
        <v>362.10150745940484</v>
      </c>
      <c r="R170" s="235">
        <f t="shared" si="60"/>
        <v>0</v>
      </c>
      <c r="S170" s="235">
        <f t="shared" si="61"/>
        <v>362.10150745940484</v>
      </c>
      <c r="T170" s="235">
        <f t="shared" si="62"/>
        <v>0</v>
      </c>
      <c r="U170" s="235">
        <f t="shared" si="63"/>
        <v>-362.10150745940484</v>
      </c>
      <c r="V170" s="235">
        <f t="shared" si="64"/>
        <v>0</v>
      </c>
      <c r="W170" s="235">
        <f t="shared" si="65"/>
        <v>-362.10150745940484</v>
      </c>
      <c r="Y170" s="235">
        <f t="shared" si="66"/>
        <v>791.57592584212966</v>
      </c>
      <c r="Z170" s="235">
        <f t="shared" si="67"/>
        <v>86.922893560006472</v>
      </c>
      <c r="AA170" s="235">
        <f t="shared" si="68"/>
        <v>-791.57592584212966</v>
      </c>
      <c r="AB170" s="235">
        <f t="shared" si="69"/>
        <v>86.922893560006472</v>
      </c>
      <c r="AC170" s="235">
        <f t="shared" si="70"/>
        <v>-791.57592584212966</v>
      </c>
      <c r="AD170" s="235">
        <f t="shared" si="71"/>
        <v>-86.922893560006472</v>
      </c>
      <c r="AE170" s="235">
        <f t="shared" si="72"/>
        <v>791.57592584212966</v>
      </c>
      <c r="AF170" s="235">
        <f t="shared" si="73"/>
        <v>-86.922893560006472</v>
      </c>
    </row>
    <row r="171" spans="6:32" x14ac:dyDescent="0.25">
      <c r="F171">
        <f t="shared" si="74"/>
        <v>167</v>
      </c>
      <c r="G171" s="235">
        <f t="shared" si="50"/>
        <v>796.34445551587748</v>
      </c>
      <c r="H171" s="235">
        <f t="shared" si="51"/>
        <v>38.657070080709609</v>
      </c>
      <c r="I171" s="235">
        <f t="shared" si="52"/>
        <v>-796.34445551587748</v>
      </c>
      <c r="J171" s="235">
        <f t="shared" si="53"/>
        <v>38.657070080709609</v>
      </c>
      <c r="K171" s="235">
        <f t="shared" si="54"/>
        <v>-796.34445551587748</v>
      </c>
      <c r="L171" s="235">
        <f t="shared" si="55"/>
        <v>-38.657070080709609</v>
      </c>
      <c r="M171" s="235">
        <f t="shared" si="56"/>
        <v>796.34445551587748</v>
      </c>
      <c r="N171" s="235">
        <f t="shared" si="57"/>
        <v>-38.657070080709609</v>
      </c>
      <c r="P171" s="235">
        <f t="shared" si="58"/>
        <v>0</v>
      </c>
      <c r="Q171" s="235">
        <f t="shared" si="59"/>
        <v>362.10150745940484</v>
      </c>
      <c r="R171" s="235">
        <f t="shared" si="60"/>
        <v>0</v>
      </c>
      <c r="S171" s="235">
        <f t="shared" si="61"/>
        <v>362.10150745940484</v>
      </c>
      <c r="T171" s="235">
        <f t="shared" si="62"/>
        <v>0</v>
      </c>
      <c r="U171" s="235">
        <f t="shared" si="63"/>
        <v>-362.10150745940484</v>
      </c>
      <c r="V171" s="235">
        <f t="shared" si="64"/>
        <v>0</v>
      </c>
      <c r="W171" s="235">
        <f t="shared" si="65"/>
        <v>-362.10150745940484</v>
      </c>
      <c r="Y171" s="235">
        <f t="shared" si="66"/>
        <v>796.34445551587748</v>
      </c>
      <c r="Z171" s="235">
        <f t="shared" si="67"/>
        <v>77.861464520033067</v>
      </c>
      <c r="AA171" s="235">
        <f t="shared" si="68"/>
        <v>-796.34445551587748</v>
      </c>
      <c r="AB171" s="235">
        <f t="shared" si="69"/>
        <v>77.861464520033067</v>
      </c>
      <c r="AC171" s="235">
        <f t="shared" si="70"/>
        <v>-796.34445551587748</v>
      </c>
      <c r="AD171" s="235">
        <f t="shared" si="71"/>
        <v>-77.861464520033067</v>
      </c>
      <c r="AE171" s="235">
        <f t="shared" si="72"/>
        <v>796.34445551587748</v>
      </c>
      <c r="AF171" s="235">
        <f t="shared" si="73"/>
        <v>-77.861464520033067</v>
      </c>
    </row>
    <row r="172" spans="6:32" x14ac:dyDescent="0.25">
      <c r="F172">
        <f t="shared" si="74"/>
        <v>168</v>
      </c>
      <c r="G172" s="235">
        <f t="shared" si="50"/>
        <v>801.11298518962519</v>
      </c>
      <c r="H172" s="235">
        <f t="shared" si="51"/>
        <v>31.942202187431882</v>
      </c>
      <c r="I172" s="235">
        <f t="shared" si="52"/>
        <v>-801.11298518962519</v>
      </c>
      <c r="J172" s="235">
        <f t="shared" si="53"/>
        <v>31.942202187431882</v>
      </c>
      <c r="K172" s="235">
        <f t="shared" si="54"/>
        <v>-801.11298518962519</v>
      </c>
      <c r="L172" s="235">
        <f t="shared" si="55"/>
        <v>-31.942202187431882</v>
      </c>
      <c r="M172" s="235">
        <f t="shared" si="56"/>
        <v>801.11298518962519</v>
      </c>
      <c r="N172" s="235">
        <f t="shared" si="57"/>
        <v>-31.942202187431882</v>
      </c>
      <c r="P172" s="235">
        <f t="shared" si="58"/>
        <v>0</v>
      </c>
      <c r="Q172" s="235">
        <f t="shared" si="59"/>
        <v>362.10150745940484</v>
      </c>
      <c r="R172" s="235">
        <f t="shared" si="60"/>
        <v>0</v>
      </c>
      <c r="S172" s="235">
        <f t="shared" si="61"/>
        <v>362.10150745940484</v>
      </c>
      <c r="T172" s="235">
        <f t="shared" si="62"/>
        <v>0</v>
      </c>
      <c r="U172" s="235">
        <f t="shared" si="63"/>
        <v>-362.10150745940484</v>
      </c>
      <c r="V172" s="235">
        <f t="shared" si="64"/>
        <v>0</v>
      </c>
      <c r="W172" s="235">
        <f t="shared" si="65"/>
        <v>-362.10150745940484</v>
      </c>
      <c r="Y172" s="235">
        <f t="shared" si="66"/>
        <v>801.11298518962519</v>
      </c>
      <c r="Z172" s="235">
        <f t="shared" si="67"/>
        <v>67.529681110605324</v>
      </c>
      <c r="AA172" s="235">
        <f t="shared" si="68"/>
        <v>-801.11298518962519</v>
      </c>
      <c r="AB172" s="235">
        <f t="shared" si="69"/>
        <v>67.529681110605324</v>
      </c>
      <c r="AC172" s="235">
        <f t="shared" si="70"/>
        <v>-801.11298518962519</v>
      </c>
      <c r="AD172" s="235">
        <f t="shared" si="71"/>
        <v>-67.529681110605324</v>
      </c>
      <c r="AE172" s="235">
        <f t="shared" si="72"/>
        <v>801.11298518962519</v>
      </c>
      <c r="AF172" s="235">
        <f t="shared" si="73"/>
        <v>-67.529681110605324</v>
      </c>
    </row>
    <row r="173" spans="6:32" x14ac:dyDescent="0.25">
      <c r="F173">
        <f t="shared" si="74"/>
        <v>169</v>
      </c>
      <c r="G173" s="235">
        <f t="shared" si="50"/>
        <v>805.88151486337301</v>
      </c>
      <c r="H173" s="235">
        <f t="shared" si="51"/>
        <v>24.400437610198441</v>
      </c>
      <c r="I173" s="235">
        <f t="shared" si="52"/>
        <v>-805.88151486337301</v>
      </c>
      <c r="J173" s="235">
        <f t="shared" si="53"/>
        <v>24.400437610198441</v>
      </c>
      <c r="K173" s="235">
        <f t="shared" si="54"/>
        <v>-805.88151486337301</v>
      </c>
      <c r="L173" s="235">
        <f t="shared" si="55"/>
        <v>-24.400437610198441</v>
      </c>
      <c r="M173" s="235">
        <f t="shared" si="56"/>
        <v>805.88151486337301</v>
      </c>
      <c r="N173" s="235">
        <f t="shared" si="57"/>
        <v>-24.400437610198441</v>
      </c>
      <c r="P173" s="235">
        <f t="shared" si="58"/>
        <v>0</v>
      </c>
      <c r="Q173" s="235">
        <f t="shared" si="59"/>
        <v>362.10150745940484</v>
      </c>
      <c r="R173" s="235">
        <f t="shared" si="60"/>
        <v>0</v>
      </c>
      <c r="S173" s="235">
        <f t="shared" si="61"/>
        <v>362.10150745940484</v>
      </c>
      <c r="T173" s="235">
        <f t="shared" si="62"/>
        <v>0</v>
      </c>
      <c r="U173" s="235">
        <f t="shared" si="63"/>
        <v>-362.10150745940484</v>
      </c>
      <c r="V173" s="235">
        <f t="shared" si="64"/>
        <v>0</v>
      </c>
      <c r="W173" s="235">
        <f t="shared" si="65"/>
        <v>-362.10150745940484</v>
      </c>
      <c r="Y173" s="235">
        <f t="shared" si="66"/>
        <v>805.88151486337301</v>
      </c>
      <c r="Z173" s="235">
        <f t="shared" si="67"/>
        <v>55.219017973259788</v>
      </c>
      <c r="AA173" s="235">
        <f t="shared" si="68"/>
        <v>-805.88151486337301</v>
      </c>
      <c r="AB173" s="235">
        <f t="shared" si="69"/>
        <v>55.219017973259788</v>
      </c>
      <c r="AC173" s="235">
        <f t="shared" si="70"/>
        <v>-805.88151486337301</v>
      </c>
      <c r="AD173" s="235">
        <f t="shared" si="71"/>
        <v>-55.219017973259788</v>
      </c>
      <c r="AE173" s="235">
        <f t="shared" si="72"/>
        <v>805.88151486337301</v>
      </c>
      <c r="AF173" s="235">
        <f t="shared" si="73"/>
        <v>-55.219017973259788</v>
      </c>
    </row>
    <row r="174" spans="6:32" x14ac:dyDescent="0.25">
      <c r="F174">
        <f t="shared" si="74"/>
        <v>170</v>
      </c>
      <c r="G174" s="235">
        <f t="shared" si="50"/>
        <v>810.65004453712072</v>
      </c>
      <c r="H174" s="235">
        <f t="shared" si="51"/>
        <v>15.386378763167039</v>
      </c>
      <c r="I174" s="235">
        <f t="shared" si="52"/>
        <v>-810.65004453712072</v>
      </c>
      <c r="J174" s="235">
        <f t="shared" si="53"/>
        <v>15.386378763167039</v>
      </c>
      <c r="K174" s="235">
        <f t="shared" si="54"/>
        <v>-810.65004453712072</v>
      </c>
      <c r="L174" s="235">
        <f t="shared" si="55"/>
        <v>-15.386378763167039</v>
      </c>
      <c r="M174" s="235">
        <f t="shared" si="56"/>
        <v>810.65004453712072</v>
      </c>
      <c r="N174" s="235">
        <f t="shared" si="57"/>
        <v>-15.386378763167039</v>
      </c>
      <c r="P174" s="235">
        <f t="shared" si="58"/>
        <v>0</v>
      </c>
      <c r="Q174" s="235">
        <f t="shared" si="59"/>
        <v>362.10150745940484</v>
      </c>
      <c r="R174" s="235">
        <f t="shared" si="60"/>
        <v>0</v>
      </c>
      <c r="S174" s="235">
        <f t="shared" si="61"/>
        <v>362.10150745940484</v>
      </c>
      <c r="T174" s="235">
        <f t="shared" si="62"/>
        <v>0</v>
      </c>
      <c r="U174" s="235">
        <f t="shared" si="63"/>
        <v>-362.10150745940484</v>
      </c>
      <c r="V174" s="235">
        <f t="shared" si="64"/>
        <v>0</v>
      </c>
      <c r="W174" s="235">
        <f t="shared" si="65"/>
        <v>-362.10150745940484</v>
      </c>
      <c r="Y174" s="235">
        <f t="shared" si="66"/>
        <v>810.65004453712072</v>
      </c>
      <c r="Z174" s="235">
        <f t="shared" si="67"/>
        <v>39.103120109498526</v>
      </c>
      <c r="AA174" s="235">
        <f t="shared" si="68"/>
        <v>-810.65004453712072</v>
      </c>
      <c r="AB174" s="235">
        <f t="shared" si="69"/>
        <v>39.103120109498526</v>
      </c>
      <c r="AC174" s="235">
        <f t="shared" si="70"/>
        <v>-810.65004453712072</v>
      </c>
      <c r="AD174" s="235">
        <f t="shared" si="71"/>
        <v>-39.103120109498526</v>
      </c>
      <c r="AE174" s="235">
        <f t="shared" si="72"/>
        <v>810.65004453712072</v>
      </c>
      <c r="AF174" s="235">
        <f t="shared" si="73"/>
        <v>-39.103120109498526</v>
      </c>
    </row>
    <row r="175" spans="6:32" x14ac:dyDescent="0.25">
      <c r="F175">
        <f t="shared" si="74"/>
        <v>171</v>
      </c>
      <c r="G175" s="235">
        <f t="shared" si="50"/>
        <v>815.41857421086854</v>
      </c>
      <c r="H175" s="235">
        <f t="shared" si="51"/>
        <v>0</v>
      </c>
      <c r="I175" s="235">
        <f t="shared" si="52"/>
        <v>-815.41857421086854</v>
      </c>
      <c r="J175" s="235">
        <f t="shared" si="53"/>
        <v>0</v>
      </c>
      <c r="K175" s="235">
        <f t="shared" si="54"/>
        <v>-815.41857421086854</v>
      </c>
      <c r="L175" s="235">
        <f t="shared" si="55"/>
        <v>0</v>
      </c>
      <c r="M175" s="235">
        <f t="shared" si="56"/>
        <v>815.41857421086854</v>
      </c>
      <c r="N175" s="235">
        <f t="shared" si="57"/>
        <v>0</v>
      </c>
      <c r="P175" s="235">
        <f t="shared" si="58"/>
        <v>0</v>
      </c>
      <c r="Q175" s="235">
        <f t="shared" si="59"/>
        <v>362.10150745940484</v>
      </c>
      <c r="R175" s="235">
        <f t="shared" si="60"/>
        <v>0</v>
      </c>
      <c r="S175" s="235">
        <f t="shared" si="61"/>
        <v>362.10150745940484</v>
      </c>
      <c r="T175" s="235">
        <f t="shared" si="62"/>
        <v>0</v>
      </c>
      <c r="U175" s="235">
        <f t="shared" si="63"/>
        <v>-362.10150745940484</v>
      </c>
      <c r="V175" s="235">
        <f t="shared" si="64"/>
        <v>0</v>
      </c>
      <c r="W175" s="235">
        <f t="shared" si="65"/>
        <v>-362.10150745940484</v>
      </c>
      <c r="Y175" s="235">
        <f t="shared" si="66"/>
        <v>815.41857421086854</v>
      </c>
      <c r="Z175" s="235">
        <f t="shared" si="67"/>
        <v>0</v>
      </c>
      <c r="AA175" s="235">
        <f t="shared" si="68"/>
        <v>-815.41857421086854</v>
      </c>
      <c r="AB175" s="235">
        <f t="shared" si="69"/>
        <v>0</v>
      </c>
      <c r="AC175" s="235">
        <f t="shared" si="70"/>
        <v>-815.41857421086854</v>
      </c>
      <c r="AD175" s="235">
        <f t="shared" si="71"/>
        <v>0</v>
      </c>
      <c r="AE175" s="235">
        <f t="shared" si="72"/>
        <v>815.41857421086854</v>
      </c>
      <c r="AF175" s="235">
        <f t="shared" si="73"/>
        <v>0</v>
      </c>
    </row>
  </sheetData>
  <mergeCells count="15">
    <mergeCell ref="P1:W1"/>
    <mergeCell ref="P2:Q2"/>
    <mergeCell ref="R2:S2"/>
    <mergeCell ref="T2:U2"/>
    <mergeCell ref="V2:W2"/>
    <mergeCell ref="G2:H2"/>
    <mergeCell ref="I2:J2"/>
    <mergeCell ref="K2:L2"/>
    <mergeCell ref="M2:N2"/>
    <mergeCell ref="G1:N1"/>
    <mergeCell ref="Y1:AF1"/>
    <mergeCell ref="Y2:Z2"/>
    <mergeCell ref="AA2:AB2"/>
    <mergeCell ref="AC2:AD2"/>
    <mergeCell ref="AE2:AF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45"/>
  <sheetViews>
    <sheetView workbookViewId="0">
      <selection activeCell="E15" sqref="E15"/>
    </sheetView>
  </sheetViews>
  <sheetFormatPr defaultRowHeight="15" x14ac:dyDescent="0.25"/>
  <cols>
    <col min="3" max="3" width="39.5703125" customWidth="1"/>
    <col min="4" max="4" width="10.140625" customWidth="1"/>
    <col min="5" max="5" width="11" bestFit="1" customWidth="1"/>
    <col min="6" max="6" width="16.7109375" customWidth="1"/>
    <col min="7" max="7" width="11.5703125" customWidth="1"/>
    <col min="8" max="8" width="15.42578125" customWidth="1"/>
    <col min="9" max="9" width="11.5703125" customWidth="1"/>
    <col min="11" max="11" width="12.28515625" customWidth="1"/>
    <col min="12" max="12" width="13.42578125" customWidth="1"/>
    <col min="13" max="13" width="15.42578125" customWidth="1"/>
    <col min="15" max="15" width="11" customWidth="1"/>
  </cols>
  <sheetData>
    <row r="3" spans="2:15" x14ac:dyDescent="0.25">
      <c r="O3" s="5"/>
    </row>
    <row r="4" spans="2:15" x14ac:dyDescent="0.25">
      <c r="B4" s="347" t="s">
        <v>269</v>
      </c>
      <c r="C4" s="347"/>
      <c r="D4" s="307" t="s">
        <v>76</v>
      </c>
      <c r="E4" s="301">
        <f>DATI!F43*10^-3</f>
        <v>-2E-3</v>
      </c>
      <c r="G4" t="s">
        <v>268</v>
      </c>
      <c r="H4" s="3">
        <f>10</f>
        <v>10</v>
      </c>
      <c r="J4" t="s">
        <v>227</v>
      </c>
      <c r="K4" s="3">
        <v>450</v>
      </c>
      <c r="L4">
        <v>540</v>
      </c>
      <c r="O4" s="5"/>
    </row>
    <row r="5" spans="2:15" ht="15.75" x14ac:dyDescent="0.25">
      <c r="B5" s="3"/>
      <c r="C5" s="3"/>
      <c r="D5" s="304"/>
      <c r="E5" s="301"/>
      <c r="G5" t="s">
        <v>267</v>
      </c>
      <c r="H5" s="3">
        <v>15</v>
      </c>
      <c r="J5" t="s">
        <v>266</v>
      </c>
      <c r="K5" s="3">
        <v>430</v>
      </c>
      <c r="L5">
        <v>540</v>
      </c>
      <c r="O5" s="5"/>
    </row>
    <row r="6" spans="2:15" ht="15.75" x14ac:dyDescent="0.25">
      <c r="D6" s="304" t="s">
        <v>66</v>
      </c>
      <c r="E6" s="301">
        <f>DATI!F49*10^-3</f>
        <v>1.8700000000000001E-3</v>
      </c>
      <c r="G6" t="s">
        <v>265</v>
      </c>
      <c r="H6" s="3">
        <v>20</v>
      </c>
      <c r="O6" s="5"/>
    </row>
    <row r="7" spans="2:15" ht="15.75" x14ac:dyDescent="0.25">
      <c r="B7" s="306"/>
      <c r="C7" s="305"/>
      <c r="D7" s="304" t="s">
        <v>61</v>
      </c>
      <c r="E7" s="301">
        <f>DATI!F50*10^-3</f>
        <v>6.7500000000000004E-2</v>
      </c>
      <c r="G7" t="s">
        <v>264</v>
      </c>
      <c r="H7" s="3">
        <v>25</v>
      </c>
    </row>
    <row r="8" spans="2:15" x14ac:dyDescent="0.25">
      <c r="G8" t="s">
        <v>248</v>
      </c>
      <c r="H8" s="3">
        <v>30</v>
      </c>
      <c r="J8" t="s">
        <v>207</v>
      </c>
      <c r="K8" t="s">
        <v>203</v>
      </c>
    </row>
    <row r="9" spans="2:15" x14ac:dyDescent="0.25">
      <c r="G9" t="s">
        <v>263</v>
      </c>
      <c r="H9" s="3">
        <v>35</v>
      </c>
      <c r="J9" t="s">
        <v>255</v>
      </c>
      <c r="K9" t="s">
        <v>201</v>
      </c>
    </row>
    <row r="10" spans="2:15" ht="19.5" thickBot="1" x14ac:dyDescent="0.3">
      <c r="C10" s="299"/>
      <c r="D10" s="300"/>
      <c r="G10" t="s">
        <v>262</v>
      </c>
      <c r="H10" s="3">
        <v>40</v>
      </c>
    </row>
    <row r="11" spans="2:15" ht="17.25" thickTop="1" thickBot="1" x14ac:dyDescent="0.3">
      <c r="D11" s="278"/>
      <c r="G11" t="s">
        <v>261</v>
      </c>
      <c r="H11" s="3">
        <v>45</v>
      </c>
    </row>
    <row r="12" spans="2:15" ht="16.5" thickTop="1" thickBot="1" x14ac:dyDescent="0.3">
      <c r="G12" t="s">
        <v>260</v>
      </c>
      <c r="H12" s="3">
        <v>50</v>
      </c>
      <c r="J12" s="303" t="s">
        <v>259</v>
      </c>
      <c r="K12" s="302">
        <f>DATI!F34</f>
        <v>450</v>
      </c>
      <c r="L12" s="32" t="s">
        <v>258</v>
      </c>
    </row>
    <row r="13" spans="2:15" ht="15.75" thickTop="1" x14ac:dyDescent="0.25">
      <c r="D13">
        <f>DATI!F44</f>
        <v>-3.5</v>
      </c>
      <c r="G13" t="s">
        <v>257</v>
      </c>
      <c r="H13" s="3">
        <v>55</v>
      </c>
    </row>
    <row r="14" spans="2:15" x14ac:dyDescent="0.25">
      <c r="G14" t="s">
        <v>256</v>
      </c>
      <c r="H14" s="3">
        <v>60</v>
      </c>
    </row>
    <row r="15" spans="2:15" x14ac:dyDescent="0.25">
      <c r="J15" t="s">
        <v>274</v>
      </c>
      <c r="K15" t="s">
        <v>205</v>
      </c>
    </row>
    <row r="16" spans="2:15" x14ac:dyDescent="0.25">
      <c r="J16" t="s">
        <v>275</v>
      </c>
      <c r="K16" t="s">
        <v>181</v>
      </c>
    </row>
    <row r="18" spans="3:12" x14ac:dyDescent="0.25">
      <c r="J18" s="34" t="s">
        <v>179</v>
      </c>
    </row>
    <row r="19" spans="3:12" ht="16.5" thickBot="1" x14ac:dyDescent="0.3">
      <c r="C19" s="359" t="s">
        <v>39</v>
      </c>
      <c r="D19" s="359"/>
      <c r="J19" s="34"/>
    </row>
    <row r="20" spans="3:12" ht="16.5" thickTop="1" thickBot="1" x14ac:dyDescent="0.3">
      <c r="E20" s="5"/>
      <c r="J20" s="356" t="s">
        <v>178</v>
      </c>
      <c r="K20" s="356"/>
      <c r="L20" s="33" t="str">
        <f>IF('foglio deposito'!C44='foglio deposito'!J15,'foglio deposito'!K15,'foglio deposito'!K16)</f>
        <v>D</v>
      </c>
    </row>
    <row r="21" spans="3:12" ht="16.5" thickTop="1" thickBot="1" x14ac:dyDescent="0.3">
      <c r="C21" s="11" t="s">
        <v>182</v>
      </c>
      <c r="D21" s="11" t="s">
        <v>183</v>
      </c>
      <c r="E21" s="11" t="s">
        <v>11</v>
      </c>
      <c r="F21" s="11" t="s">
        <v>41</v>
      </c>
    </row>
    <row r="22" spans="3:12" ht="16.5" thickTop="1" thickBot="1" x14ac:dyDescent="0.3">
      <c r="C22" s="33">
        <f>DATI!F4</f>
        <v>400</v>
      </c>
      <c r="D22" s="33">
        <f>DATI!F5</f>
        <v>700</v>
      </c>
      <c r="E22" s="35">
        <f>DATI!F6</f>
        <v>44</v>
      </c>
      <c r="F22" s="33">
        <f>DATI!F9</f>
        <v>2.7</v>
      </c>
    </row>
    <row r="23" spans="3:12" ht="15.75" thickTop="1" x14ac:dyDescent="0.25">
      <c r="C23" s="32"/>
      <c r="D23" s="32"/>
      <c r="E23" s="4"/>
      <c r="F23" s="32"/>
      <c r="J23" t="s">
        <v>277</v>
      </c>
      <c r="K23" t="s">
        <v>169</v>
      </c>
    </row>
    <row r="24" spans="3:12" ht="15.75" x14ac:dyDescent="0.25">
      <c r="C24" s="1" t="s">
        <v>176</v>
      </c>
      <c r="D24" s="3"/>
      <c r="J24" t="s">
        <v>278</v>
      </c>
      <c r="K24" t="s">
        <v>204</v>
      </c>
    </row>
    <row r="25" spans="3:12" ht="15.75" thickBot="1" x14ac:dyDescent="0.3">
      <c r="D25" s="2"/>
      <c r="E25" s="2"/>
    </row>
    <row r="26" spans="3:12" ht="23.25" thickTop="1" thickBot="1" x14ac:dyDescent="0.3">
      <c r="C26" s="12" t="s">
        <v>0</v>
      </c>
      <c r="D26" s="13" t="s">
        <v>1</v>
      </c>
      <c r="E26" s="12" t="s">
        <v>2</v>
      </c>
      <c r="J26" s="356" t="s">
        <v>168</v>
      </c>
      <c r="K26" s="356"/>
      <c r="L26" s="158" t="str">
        <f>IF(DATI!B75='foglio deposito'!J23,'foglio deposito'!K23,'foglio deposito'!K24)</f>
        <v>G</v>
      </c>
    </row>
    <row r="27" spans="3:12" ht="16.5" thickTop="1" thickBot="1" x14ac:dyDescent="0.3">
      <c r="C27" s="36">
        <f>DATI!F34</f>
        <v>450</v>
      </c>
      <c r="D27" s="36">
        <v>1.1499999999999999</v>
      </c>
      <c r="E27" s="37">
        <f>C27/D27</f>
        <v>391.304347826087</v>
      </c>
    </row>
    <row r="28" spans="3:12" ht="15.75" thickTop="1" x14ac:dyDescent="0.25">
      <c r="C28" s="9"/>
      <c r="D28" s="9"/>
      <c r="E28" s="10"/>
    </row>
    <row r="29" spans="3:12" ht="15.75" x14ac:dyDescent="0.25">
      <c r="C29" s="14" t="s">
        <v>40</v>
      </c>
      <c r="D29" s="9"/>
      <c r="E29" s="10"/>
      <c r="G29" s="39"/>
      <c r="H29" s="39"/>
      <c r="I29" s="39"/>
      <c r="J29" s="39"/>
    </row>
    <row r="30" spans="3:12" x14ac:dyDescent="0.25">
      <c r="D30" s="15"/>
      <c r="E30" s="5"/>
      <c r="G30" s="39"/>
      <c r="H30" s="39"/>
      <c r="I30" s="39"/>
      <c r="J30" s="39"/>
    </row>
    <row r="31" spans="3:12" ht="39.75" thickBot="1" x14ac:dyDescent="0.3">
      <c r="C31" s="16" t="s">
        <v>3</v>
      </c>
      <c r="D31" s="13" t="s">
        <v>4</v>
      </c>
      <c r="E31" s="13" t="s">
        <v>5</v>
      </c>
      <c r="G31" s="262" t="s">
        <v>10</v>
      </c>
      <c r="H31" s="263">
        <f>0.83*'foglio deposito'!C32</f>
        <v>24.9</v>
      </c>
      <c r="I31" s="264" t="s">
        <v>7</v>
      </c>
      <c r="J31" s="263">
        <f>0.3*H31^(2/3)</f>
        <v>2.5581194481669618</v>
      </c>
    </row>
    <row r="32" spans="3:12" ht="40.5" thickTop="1" thickBot="1" x14ac:dyDescent="0.3">
      <c r="C32" s="36">
        <f>DATI!F17</f>
        <v>30</v>
      </c>
      <c r="D32" s="36">
        <v>1.5</v>
      </c>
      <c r="E32" s="36">
        <v>0.85</v>
      </c>
      <c r="G32" s="262" t="s">
        <v>6</v>
      </c>
      <c r="H32" s="265">
        <f>'foglio deposito'!E32*H31/'foglio deposito'!D32</f>
        <v>14.11</v>
      </c>
      <c r="I32" s="264" t="s">
        <v>8</v>
      </c>
      <c r="J32" s="263">
        <f>0.7*J31</f>
        <v>1.7906836137168731</v>
      </c>
    </row>
    <row r="33" spans="3:10" ht="39.75" thickTop="1" x14ac:dyDescent="0.25">
      <c r="C33" s="9"/>
      <c r="D33" s="9"/>
      <c r="E33" s="9"/>
      <c r="G33" s="39"/>
      <c r="H33" s="39"/>
      <c r="I33" s="264" t="s">
        <v>9</v>
      </c>
      <c r="J33" s="263">
        <f>J32/'foglio deposito'!D32</f>
        <v>1.1937890758112488</v>
      </c>
    </row>
    <row r="34" spans="3:10" ht="15.75" x14ac:dyDescent="0.25">
      <c r="C34" s="14" t="s">
        <v>177</v>
      </c>
      <c r="D34" s="9"/>
      <c r="E34" s="9"/>
      <c r="G34" s="39"/>
      <c r="H34" s="39"/>
      <c r="I34" s="264"/>
      <c r="J34" s="263"/>
    </row>
    <row r="35" spans="3:10" x14ac:dyDescent="0.25">
      <c r="E35" s="9"/>
      <c r="G35" s="39"/>
      <c r="H35" s="39"/>
      <c r="I35" s="39"/>
      <c r="J35" s="39"/>
    </row>
    <row r="37" spans="3:10" ht="19.5" thickBot="1" x14ac:dyDescent="0.3">
      <c r="G37" s="38" t="str">
        <f>IF(F38="A","",IF(F38="B","","ERROR!!"))</f>
        <v/>
      </c>
    </row>
    <row r="38" spans="3:10" ht="20.25" thickTop="1" thickBot="1" x14ac:dyDescent="0.3">
      <c r="C38" s="358" t="s">
        <v>147</v>
      </c>
      <c r="D38" s="358"/>
      <c r="E38" s="17" t="s">
        <v>144</v>
      </c>
      <c r="F38" s="158" t="str">
        <f>IF(DATI!B55='foglio deposito'!J8,'foglio deposito'!K8,'foglio deposito'!K9)</f>
        <v>B</v>
      </c>
      <c r="G38" s="38"/>
    </row>
    <row r="39" spans="3:10" ht="15.75" thickTop="1" x14ac:dyDescent="0.25"/>
    <row r="42" spans="3:10" x14ac:dyDescent="0.25">
      <c r="C42" s="34" t="s">
        <v>281</v>
      </c>
      <c r="D42" s="308"/>
    </row>
    <row r="43" spans="3:10" ht="15.75" thickBot="1" x14ac:dyDescent="0.3">
      <c r="C43" s="308"/>
      <c r="D43" s="308"/>
    </row>
    <row r="44" spans="3:10" ht="16.5" thickTop="1" thickBot="1" x14ac:dyDescent="0.3">
      <c r="C44" s="354" t="s">
        <v>275</v>
      </c>
      <c r="D44" s="355"/>
    </row>
    <row r="45" spans="3:10" ht="15.75" thickTop="1" x14ac:dyDescent="0.25"/>
  </sheetData>
  <protectedRanges>
    <protectedRange sqref="K12" name="Intervallo1_1"/>
    <protectedRange sqref="C22:F22 C27:E27 C32:E32 F38" name="Intervallo1"/>
    <protectedRange sqref="L20" name="Intervallo3"/>
    <protectedRange sqref="L26" name="Intervallo2"/>
  </protectedRanges>
  <mergeCells count="6">
    <mergeCell ref="C38:D38"/>
    <mergeCell ref="J20:K20"/>
    <mergeCell ref="J26:K26"/>
    <mergeCell ref="C44:D44"/>
    <mergeCell ref="B4:C4"/>
    <mergeCell ref="C19:D19"/>
  </mergeCells>
  <dataValidations count="4">
    <dataValidation type="list" allowBlank="1" showInputMessage="1" showErrorMessage="1" sqref="F38">
      <formula1>CD</formula1>
    </dataValidation>
    <dataValidation type="list" allowBlank="1" showInputMessage="1" showErrorMessage="1" sqref="L20">
      <formula1>RD</formula1>
    </dataValidation>
    <dataValidation type="list" allowBlank="1" showInputMessage="1" showErrorMessage="1" sqref="L26">
      <formula1>DOM</formula1>
    </dataValidation>
    <dataValidation type="list" allowBlank="1" showInputMessage="1" showErrorMessage="1" sqref="C44:D44">
      <formula1>pf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30"/>
  <sheetViews>
    <sheetView showGridLines="0" showRowColHeaders="0" zoomScale="80" zoomScaleNormal="80" workbookViewId="0">
      <selection activeCell="D7" sqref="D7"/>
    </sheetView>
  </sheetViews>
  <sheetFormatPr defaultRowHeight="15" x14ac:dyDescent="0.25"/>
  <cols>
    <col min="1" max="1" width="4.85546875" customWidth="1"/>
    <col min="2" max="2" width="29.140625" customWidth="1"/>
    <col min="3" max="7" width="12.7109375" customWidth="1"/>
    <col min="8" max="8" width="17.85546875" customWidth="1"/>
    <col min="9" max="9" width="12.7109375" customWidth="1"/>
    <col min="10" max="10" width="17.5703125" customWidth="1"/>
    <col min="11" max="11" width="12.7109375" customWidth="1"/>
    <col min="12" max="13" width="9.42578125" customWidth="1"/>
    <col min="14" max="14" width="3.7109375" customWidth="1"/>
    <col min="15" max="15" width="8.7109375" customWidth="1"/>
    <col min="16" max="16" width="11.85546875" customWidth="1"/>
    <col min="17" max="17" width="8.85546875" customWidth="1"/>
    <col min="18" max="18" width="3.7109375" customWidth="1"/>
    <col min="19" max="19" width="7.140625" customWidth="1"/>
    <col min="20" max="20" width="7.7109375" customWidth="1"/>
    <col min="21" max="23" width="12.7109375" customWidth="1"/>
  </cols>
  <sheetData>
    <row r="1" spans="2:18" ht="21" x14ac:dyDescent="0.35">
      <c r="B1" s="68" t="s">
        <v>138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8" x14ac:dyDescent="0.25">
      <c r="B2" s="39" t="s">
        <v>136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8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8" ht="15.75" thickBot="1" x14ac:dyDescent="0.3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2:18" ht="16.5" thickTop="1" thickBot="1" x14ac:dyDescent="0.3">
      <c r="B5" s="39"/>
      <c r="C5" s="39"/>
      <c r="D5" s="380" t="s">
        <v>115</v>
      </c>
      <c r="E5" s="381"/>
      <c r="F5" s="231"/>
      <c r="G5" s="231"/>
      <c r="H5" s="39"/>
      <c r="I5" s="39"/>
      <c r="J5" s="362" t="s">
        <v>164</v>
      </c>
      <c r="K5" s="363"/>
      <c r="L5" s="364" t="s">
        <v>158</v>
      </c>
      <c r="M5" s="365"/>
    </row>
    <row r="6" spans="2:18" ht="18" customHeight="1" thickBot="1" x14ac:dyDescent="0.3">
      <c r="B6" s="368" t="s">
        <v>137</v>
      </c>
      <c r="C6" s="334" t="s">
        <v>117</v>
      </c>
      <c r="D6" s="341" t="s">
        <v>118</v>
      </c>
      <c r="E6" s="342" t="s">
        <v>119</v>
      </c>
      <c r="F6" s="337" t="s">
        <v>165</v>
      </c>
      <c r="G6" s="232"/>
      <c r="I6" s="39"/>
      <c r="J6" s="190" t="s">
        <v>162</v>
      </c>
      <c r="K6" s="191">
        <f>VLOOKUP(DATI!E66,'caldom x'!W21:X277,2,TRUE)</f>
        <v>815.41857421086854</v>
      </c>
      <c r="L6" s="192">
        <f>(DATI!C66/(0.7*K6))^1.5+(IF('foglio deposito'!L20="R",0.05*'foglio deposito'!F22*DATI!E67,DATI!D66)/(0.7*'Verifica a Pressoflessione'!K7))^1.5</f>
        <v>0.92890372586220082</v>
      </c>
      <c r="M6" s="192">
        <f>(DATI!C66/(0.7*K6))+(IF('foglio deposito'!L20="R",0.05*'foglio deposito'!F22*DATI!E67,DATI!D66)/(0.7*'Verifica a Pressoflessione'!K7))</f>
        <v>1.1328818770698859</v>
      </c>
    </row>
    <row r="7" spans="2:18" ht="24" thickBot="1" x14ac:dyDescent="0.3">
      <c r="B7" s="369"/>
      <c r="C7" s="335" t="s">
        <v>121</v>
      </c>
      <c r="D7" s="343">
        <v>6</v>
      </c>
      <c r="E7" s="344">
        <v>20</v>
      </c>
      <c r="F7" s="338">
        <f>D7*PI()*E7^2/4</f>
        <v>1884.9555921538758</v>
      </c>
      <c r="G7" s="233"/>
      <c r="I7" s="39"/>
      <c r="J7" s="190" t="s">
        <v>163</v>
      </c>
      <c r="K7" s="193">
        <f>VLOOKUP(DATI!E66,'caldom y'!W21:X277,2,TRUE)</f>
        <v>362.10150745940484</v>
      </c>
      <c r="L7" s="39"/>
      <c r="M7" s="39"/>
    </row>
    <row r="8" spans="2:18" ht="18" customHeight="1" x14ac:dyDescent="0.3">
      <c r="B8" s="366" t="str">
        <f>IF('foglio deposito'!L26="G",IF(L6&lt;=1,"VERIFICATO","NON VERIFICATO"),IF(M6&lt;=1,"VERIFICATO","NON VERIFICATO"))</f>
        <v>VERIFICATO</v>
      </c>
      <c r="C8" s="234" t="s">
        <v>117</v>
      </c>
      <c r="D8" s="341" t="s">
        <v>118</v>
      </c>
      <c r="E8" s="342" t="s">
        <v>119</v>
      </c>
      <c r="F8" s="339" t="s">
        <v>165</v>
      </c>
      <c r="G8" s="232"/>
      <c r="I8" s="39"/>
      <c r="J8" s="194"/>
      <c r="K8" s="39"/>
      <c r="L8" s="39"/>
      <c r="M8" s="39"/>
    </row>
    <row r="9" spans="2:18" ht="24" thickBot="1" x14ac:dyDescent="0.35">
      <c r="B9" s="367"/>
      <c r="C9" s="336" t="s">
        <v>134</v>
      </c>
      <c r="D9" s="345">
        <v>4</v>
      </c>
      <c r="E9" s="346">
        <v>20</v>
      </c>
      <c r="F9" s="340">
        <f>D9*PI()*E9^2/4</f>
        <v>1256.6370614359173</v>
      </c>
      <c r="G9" s="233"/>
      <c r="I9" s="39"/>
      <c r="J9" s="194"/>
      <c r="K9" s="39"/>
      <c r="L9" s="39"/>
      <c r="M9" s="39"/>
    </row>
    <row r="10" spans="2:18" x14ac:dyDescent="0.25">
      <c r="B10" s="39" t="s">
        <v>180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2:18" x14ac:dyDescent="0.25">
      <c r="B11" s="39" t="s">
        <v>200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2:18" x14ac:dyDescent="0.2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2:18" ht="21.95" customHeight="1" x14ac:dyDescent="0.25">
      <c r="B13" s="195" t="s">
        <v>116</v>
      </c>
      <c r="C13" s="39"/>
      <c r="D13" s="39"/>
      <c r="E13" s="39"/>
      <c r="F13" s="39"/>
      <c r="G13" s="195" t="s">
        <v>184</v>
      </c>
      <c r="H13" s="39"/>
      <c r="I13" s="39"/>
      <c r="J13" s="67" t="s">
        <v>188</v>
      </c>
      <c r="K13" s="39"/>
      <c r="L13" s="39"/>
      <c r="M13" s="39"/>
      <c r="P13" s="379" t="str">
        <f>IF(J14="VERIFICATO","","check")</f>
        <v/>
      </c>
      <c r="Q13" s="379"/>
      <c r="R13" s="379"/>
    </row>
    <row r="14" spans="2:18" ht="21.95" customHeight="1" x14ac:dyDescent="0.25">
      <c r="B14" s="196" t="s">
        <v>148</v>
      </c>
      <c r="C14" s="173">
        <f>DATI!E66*1000/(MIN('foglio deposito'!C22:D22)*(MAX('foglio deposito'!C22:D22)-'foglio deposito'!E22)*'foglio deposito'!H32)</f>
        <v>0.4607742303503829</v>
      </c>
      <c r="D14" s="370" t="str">
        <f>IF('foglio deposito'!F38="B",IF(C14&lt;=0.65,"verificato","NON VERIFICATO"),IF(C14&lt;=0.55,"verificato","NON VERIFICATO"))</f>
        <v>verificato</v>
      </c>
      <c r="E14" s="371"/>
      <c r="F14" s="39"/>
      <c r="G14" t="s">
        <v>186</v>
      </c>
      <c r="H14" s="228">
        <f>((('foglio deposito'!C22-2*'foglio deposito'!E22)-E7)-E7*(D7-2))/(D7-1)</f>
        <v>42.4</v>
      </c>
      <c r="I14" s="39" t="s">
        <v>185</v>
      </c>
      <c r="J14" s="230" t="str">
        <f>IF(H14&gt;=2*E7,"verificato","NON VERIFICATO")</f>
        <v>verificato</v>
      </c>
      <c r="K14" s="356" t="str">
        <f>IF(J14="VERIFICATO","","DOPPIO STRATO -&gt;")</f>
        <v/>
      </c>
      <c r="L14" s="356"/>
      <c r="M14" s="228" t="str">
        <f>IF(J14="VERIFICATO","",((('foglio deposito'!C22-2*'foglio deposito'!E22)-E7)-E7*(D7/2+1-2))/(D7/2+1-1))</f>
        <v/>
      </c>
      <c r="N14" t="str">
        <f>IF(J14="VERIFICATO","","mm")</f>
        <v/>
      </c>
      <c r="P14" s="356" t="str">
        <f>IF(J14="VERIFICATO","",IF(M14&gt;=2*E7,"verificato","NON VERIFICATO"))</f>
        <v/>
      </c>
      <c r="Q14" s="356"/>
      <c r="R14" s="356"/>
    </row>
    <row r="15" spans="2:18" ht="21.95" customHeight="1" x14ac:dyDescent="0.25">
      <c r="B15" s="178" t="s">
        <v>122</v>
      </c>
      <c r="C15" s="372" t="str">
        <f>VLOOKUP(DATI!E66,'caldom x'!W20:AB277,5,TRUE)</f>
        <v>ROTTURA BILANCIATA</v>
      </c>
      <c r="D15" s="373"/>
      <c r="E15" s="374"/>
      <c r="F15" s="39"/>
      <c r="G15" s="39" t="s">
        <v>187</v>
      </c>
      <c r="H15" s="228">
        <f>((('foglio deposito'!D22-2*'foglio deposito'!E22)-E9)-E9*(D9-2))/(D9-1)</f>
        <v>184</v>
      </c>
      <c r="I15" s="39" t="s">
        <v>185</v>
      </c>
      <c r="J15" s="230" t="str">
        <f>IF(H15&gt;=2*E9,"verificato","NON VERIFICATO")</f>
        <v>verificato</v>
      </c>
      <c r="K15" s="356" t="str">
        <f>IF(J15="VERIFICATO","","DOPPIO STRATO -&gt;")</f>
        <v/>
      </c>
      <c r="L15" s="356"/>
      <c r="M15" s="228" t="str">
        <f>IF(J15="VERIFICATO","",((('foglio deposito'!C22-2*'foglio deposito'!E22)-E9)-E9*(D9/2+1-2))/(D9/2+1-1))</f>
        <v/>
      </c>
      <c r="N15" t="str">
        <f>IF(J15="VERIFICATO","","mm")</f>
        <v/>
      </c>
      <c r="P15" s="356" t="str">
        <f>IF(J15="VERIFICATO","",IF(M15&gt;=2*E9,"verificato","NON VERIFICATO"))</f>
        <v/>
      </c>
      <c r="Q15" s="356"/>
      <c r="R15" s="356"/>
    </row>
    <row r="16" spans="2:18" ht="21.95" customHeight="1" x14ac:dyDescent="0.35">
      <c r="B16" s="178" t="s">
        <v>131</v>
      </c>
      <c r="C16" s="372" t="str">
        <f>VLOOKUP(DATI!E66,'caldom y'!W20:AB277,5,TRUE)</f>
        <v>ROTTURA BILANCIATA</v>
      </c>
      <c r="D16" s="373"/>
      <c r="E16" s="374"/>
      <c r="F16" s="39"/>
      <c r="G16" s="39"/>
      <c r="H16" s="39"/>
      <c r="I16" s="39"/>
      <c r="J16" s="39"/>
      <c r="K16" s="39"/>
      <c r="L16" s="39"/>
      <c r="M16" s="39"/>
      <c r="O16" s="238">
        <f>D7</f>
        <v>6</v>
      </c>
      <c r="P16" s="239" t="str">
        <f>E8</f>
        <v>F</v>
      </c>
      <c r="Q16" s="240">
        <f>E7</f>
        <v>20</v>
      </c>
    </row>
    <row r="17" spans="2:21" ht="21.95" customHeight="1" thickBot="1" x14ac:dyDescent="0.3">
      <c r="B17" s="375" t="s">
        <v>135</v>
      </c>
      <c r="C17" s="376"/>
      <c r="D17" s="377">
        <f>(D7)*2+(D9-2)*2</f>
        <v>16</v>
      </c>
      <c r="E17" s="378"/>
      <c r="F17" s="39"/>
      <c r="G17" s="39"/>
      <c r="H17" s="39"/>
      <c r="I17" s="39"/>
      <c r="J17" s="39"/>
      <c r="K17" s="39"/>
      <c r="L17" s="39"/>
      <c r="M17" s="39"/>
      <c r="N17" s="243"/>
      <c r="O17" s="244"/>
      <c r="P17" s="244"/>
      <c r="Q17" s="244"/>
      <c r="R17" s="245"/>
    </row>
    <row r="18" spans="2:21" ht="21.75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46"/>
      <c r="O18" s="242"/>
      <c r="P18" s="236"/>
      <c r="Q18" s="242"/>
      <c r="R18" s="247"/>
    </row>
    <row r="19" spans="2:21" ht="27.75" customHeight="1" x14ac:dyDescent="0.2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53">
        <f>E9</f>
        <v>20</v>
      </c>
      <c r="N19" s="246"/>
      <c r="O19" s="242"/>
      <c r="P19" s="242"/>
      <c r="Q19" s="242"/>
      <c r="R19" s="247"/>
      <c r="S19" s="256">
        <f>M19</f>
        <v>20</v>
      </c>
    </row>
    <row r="20" spans="2:21" ht="21.95" customHeight="1" thickBot="1" x14ac:dyDescent="0.4">
      <c r="B20" s="195" t="s">
        <v>120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8"/>
      <c r="N20" s="248"/>
      <c r="O20" s="242"/>
      <c r="P20" s="242"/>
      <c r="Q20" s="242"/>
      <c r="R20" s="249"/>
      <c r="S20" s="257"/>
    </row>
    <row r="21" spans="2:21" ht="21.95" customHeight="1" x14ac:dyDescent="0.3">
      <c r="B21" s="197" t="s">
        <v>123</v>
      </c>
      <c r="C21" s="198" t="s">
        <v>124</v>
      </c>
      <c r="D21" s="198" t="s">
        <v>125</v>
      </c>
      <c r="E21" s="382" t="s">
        <v>126</v>
      </c>
      <c r="F21" s="383"/>
      <c r="G21" s="199" t="s">
        <v>127</v>
      </c>
      <c r="H21" s="199" t="s">
        <v>128</v>
      </c>
      <c r="I21" s="200" t="s">
        <v>129</v>
      </c>
      <c r="J21" s="201" t="s">
        <v>130</v>
      </c>
      <c r="K21" s="39"/>
      <c r="L21" s="39"/>
      <c r="M21" s="254" t="s">
        <v>119</v>
      </c>
      <c r="N21" s="241"/>
      <c r="O21" s="242"/>
      <c r="P21" s="242"/>
      <c r="Q21" s="242"/>
      <c r="R21" s="249"/>
      <c r="S21" s="258" t="s">
        <v>119</v>
      </c>
      <c r="T21" s="259">
        <f>'foglio deposito'!D22</f>
        <v>700</v>
      </c>
      <c r="U21" s="259" t="s">
        <v>185</v>
      </c>
    </row>
    <row r="22" spans="2:21" ht="21.95" customHeight="1" x14ac:dyDescent="0.35">
      <c r="B22" s="202" t="s">
        <v>132</v>
      </c>
      <c r="C22" s="171" t="s">
        <v>132</v>
      </c>
      <c r="D22" s="171" t="s">
        <v>132</v>
      </c>
      <c r="E22" s="203"/>
      <c r="F22" s="204"/>
      <c r="G22" s="171" t="s">
        <v>132</v>
      </c>
      <c r="H22" s="171"/>
      <c r="I22" s="171" t="s">
        <v>133</v>
      </c>
      <c r="J22" s="205"/>
      <c r="K22" s="39"/>
      <c r="L22" s="39"/>
      <c r="M22" s="68"/>
      <c r="N22" s="248"/>
      <c r="O22" s="242"/>
      <c r="P22" s="242"/>
      <c r="Q22" s="242"/>
      <c r="R22" s="249"/>
      <c r="S22" s="257"/>
    </row>
    <row r="23" spans="2:21" ht="21.95" customHeight="1" thickBot="1" x14ac:dyDescent="0.3">
      <c r="B23" s="206">
        <f>(F7+F9-2*(E9/2)^2*PI())*2</f>
        <v>5026.5482457436692</v>
      </c>
      <c r="C23" s="207">
        <f>'foglio deposito'!C22*'foglio deposito'!D22*0.01</f>
        <v>2800</v>
      </c>
      <c r="D23" s="207">
        <f>0.003*'foglio deposito'!D22*'foglio deposito'!C22</f>
        <v>840</v>
      </c>
      <c r="E23" s="360" t="str">
        <f>IF(B23&gt;=MAX(C23,D23),"verificato","NON VERIFICATO")</f>
        <v>verificato</v>
      </c>
      <c r="F23" s="361"/>
      <c r="G23" s="207">
        <f>0.04*'foglio deposito'!C22*'foglio deposito'!D22</f>
        <v>11200</v>
      </c>
      <c r="H23" s="208" t="str">
        <f>IF(B23&lt;=G23,"verificato","NON VERIFICATO")</f>
        <v>verificato</v>
      </c>
      <c r="I23" s="207">
        <f>(B23)/('foglio deposito'!C22*'foglio deposito'!D22)*100</f>
        <v>1.7951958020513106</v>
      </c>
      <c r="J23" s="209" t="str">
        <f>IF(G23=0,"",IF(1&lt;=I23,IF(I23&lt;=4,"verificato","NON VERIFICATO"),"NON VERIFICATO"))</f>
        <v>verificato</v>
      </c>
      <c r="K23" s="39"/>
      <c r="L23" s="39"/>
      <c r="M23" s="255">
        <f>D9</f>
        <v>4</v>
      </c>
      <c r="N23" s="248"/>
      <c r="O23" s="242"/>
      <c r="P23" s="242"/>
      <c r="Q23" s="242"/>
      <c r="R23" s="249"/>
      <c r="S23" s="256">
        <f>M23</f>
        <v>4</v>
      </c>
    </row>
    <row r="24" spans="2:21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46"/>
      <c r="O24" s="242"/>
      <c r="P24" s="242"/>
      <c r="Q24" s="242"/>
      <c r="R24" s="247"/>
    </row>
    <row r="25" spans="2:21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46"/>
      <c r="O25" s="242"/>
      <c r="P25" s="242"/>
      <c r="Q25" s="242"/>
      <c r="R25" s="247"/>
    </row>
    <row r="26" spans="2:21" ht="15.75" thickBot="1" x14ac:dyDescent="0.3">
      <c r="N26" s="246"/>
      <c r="O26" s="242"/>
      <c r="P26" s="237"/>
      <c r="Q26" s="242"/>
      <c r="R26" s="247"/>
    </row>
    <row r="27" spans="2:21" ht="18.75" x14ac:dyDescent="0.3">
      <c r="N27" s="250"/>
      <c r="O27" s="251"/>
      <c r="P27" s="251"/>
      <c r="Q27" s="251"/>
      <c r="R27" s="252"/>
      <c r="S27" s="261">
        <f>'foglio deposito'!E22</f>
        <v>44</v>
      </c>
      <c r="T27" s="259" t="s">
        <v>185</v>
      </c>
    </row>
    <row r="28" spans="2:21" ht="21.75" x14ac:dyDescent="0.35">
      <c r="O28" s="238">
        <f>O16</f>
        <v>6</v>
      </c>
      <c r="P28" s="239" t="str">
        <f>P16</f>
        <v>F</v>
      </c>
      <c r="Q28" s="240">
        <f>Q16</f>
        <v>20</v>
      </c>
    </row>
    <row r="30" spans="2:21" ht="18.75" x14ac:dyDescent="0.3">
      <c r="P30" s="260">
        <f>'foglio deposito'!C22</f>
        <v>400</v>
      </c>
      <c r="Q30" s="259" t="s">
        <v>185</v>
      </c>
    </row>
  </sheetData>
  <sheetProtection password="ABEF" sheet="1" objects="1" scenarios="1" selectLockedCells="1"/>
  <protectedRanges>
    <protectedRange sqref="D9:E9" name="Intervallo2"/>
    <protectedRange sqref="D7:E7" name="Intervallo1"/>
  </protectedRanges>
  <mergeCells count="17">
    <mergeCell ref="P14:R14"/>
    <mergeCell ref="P13:R13"/>
    <mergeCell ref="P15:R15"/>
    <mergeCell ref="D5:E5"/>
    <mergeCell ref="E21:F21"/>
    <mergeCell ref="E23:F23"/>
    <mergeCell ref="J5:K5"/>
    <mergeCell ref="L5:M5"/>
    <mergeCell ref="B8:B9"/>
    <mergeCell ref="B6:B7"/>
    <mergeCell ref="D14:E14"/>
    <mergeCell ref="C15:E15"/>
    <mergeCell ref="C16:E16"/>
    <mergeCell ref="B17:C17"/>
    <mergeCell ref="D17:E17"/>
    <mergeCell ref="K14:L14"/>
    <mergeCell ref="K15:L15"/>
  </mergeCells>
  <conditionalFormatting sqref="D14:E14">
    <cfRule type="cellIs" dxfId="5" priority="5" operator="equal">
      <formula>"verificato"</formula>
    </cfRule>
  </conditionalFormatting>
  <conditionalFormatting sqref="E23 H23 J23">
    <cfRule type="cellIs" dxfId="4" priority="4" operator="equal">
      <formula>"verificato"</formula>
    </cfRule>
  </conditionalFormatting>
  <conditionalFormatting sqref="B8">
    <cfRule type="cellIs" dxfId="3" priority="2" operator="equal">
      <formula>"VERIFICATO"</formula>
    </cfRule>
  </conditionalFormatting>
  <conditionalFormatting sqref="J14:J15">
    <cfRule type="cellIs" dxfId="2" priority="1" operator="equal">
      <formula>"verificato"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/>
  <dimension ref="A1:AE40"/>
  <sheetViews>
    <sheetView showGridLines="0" showRowColHeaders="0" zoomScale="80" zoomScaleNormal="80" workbookViewId="0">
      <selection activeCell="D7" sqref="D7"/>
    </sheetView>
  </sheetViews>
  <sheetFormatPr defaultRowHeight="15" x14ac:dyDescent="0.25"/>
  <cols>
    <col min="1" max="6" width="12.7109375" customWidth="1"/>
    <col min="7" max="10" width="13.85546875" customWidth="1"/>
    <col min="11" max="20" width="12.7109375" customWidth="1"/>
    <col min="21" max="21" width="16.140625" customWidth="1"/>
    <col min="22" max="22" width="14.7109375" customWidth="1"/>
    <col min="23" max="23" width="12.7109375" customWidth="1"/>
    <col min="24" max="24" width="13.85546875" customWidth="1"/>
    <col min="25" max="25" width="15.140625" customWidth="1"/>
    <col min="26" max="26" width="12.7109375" customWidth="1"/>
    <col min="27" max="27" width="14.42578125" customWidth="1"/>
    <col min="28" max="28" width="14.28515625" customWidth="1"/>
    <col min="29" max="29" width="13.7109375" customWidth="1"/>
  </cols>
  <sheetData>
    <row r="1" spans="1:31" ht="21" x14ac:dyDescent="0.35">
      <c r="A1" s="396" t="s">
        <v>166</v>
      </c>
      <c r="B1" s="396"/>
      <c r="C1" s="396"/>
      <c r="D1" s="50" t="s">
        <v>144</v>
      </c>
      <c r="E1" s="50" t="str">
        <f>'foglio deposito'!F38</f>
        <v>B</v>
      </c>
      <c r="F1" s="21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 ht="16.5" thickBot="1" x14ac:dyDescent="0.3">
      <c r="A3" s="211" t="s">
        <v>139</v>
      </c>
      <c r="B3" s="39"/>
      <c r="C3" s="39"/>
      <c r="D3" s="39"/>
      <c r="E3" s="39"/>
      <c r="F3" s="39"/>
      <c r="G3" s="39"/>
      <c r="H3" s="211" t="s">
        <v>140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5.75" customHeight="1" thickTop="1" thickBot="1" x14ac:dyDescent="0.3">
      <c r="A4" s="39"/>
      <c r="B4" s="39"/>
      <c r="C4" s="39"/>
      <c r="D4" s="380" t="s">
        <v>115</v>
      </c>
      <c r="E4" s="388"/>
      <c r="F4" s="381"/>
      <c r="G4" s="39"/>
      <c r="H4" s="39"/>
      <c r="I4" s="39"/>
      <c r="J4" s="39"/>
      <c r="K4" s="212"/>
      <c r="L4" s="316" t="s">
        <v>115</v>
      </c>
      <c r="M4" s="315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 ht="15.75" customHeight="1" x14ac:dyDescent="0.25">
      <c r="A5" s="213">
        <v>1</v>
      </c>
      <c r="B5" s="389" t="s">
        <v>141</v>
      </c>
      <c r="C5" s="391" t="s">
        <v>142</v>
      </c>
      <c r="D5" s="311" t="s">
        <v>20</v>
      </c>
      <c r="E5" s="214" t="s">
        <v>21</v>
      </c>
      <c r="F5" s="312" t="s">
        <v>143</v>
      </c>
      <c r="G5" s="39"/>
      <c r="H5" s="213"/>
      <c r="I5" s="389" t="s">
        <v>141</v>
      </c>
      <c r="J5" s="389" t="s">
        <v>142</v>
      </c>
      <c r="K5" s="215" t="s">
        <v>20</v>
      </c>
      <c r="L5" s="317" t="s">
        <v>21</v>
      </c>
      <c r="M5" s="216" t="s">
        <v>143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ht="27.75" customHeight="1" x14ac:dyDescent="0.25">
      <c r="A6" s="39"/>
      <c r="B6" s="390"/>
      <c r="C6" s="392"/>
      <c r="D6" s="313" t="s">
        <v>32</v>
      </c>
      <c r="E6" s="217"/>
      <c r="F6" s="314" t="s">
        <v>33</v>
      </c>
      <c r="G6" s="39"/>
      <c r="H6" s="39"/>
      <c r="I6" s="390"/>
      <c r="J6" s="390"/>
      <c r="K6" s="218" t="s">
        <v>32</v>
      </c>
      <c r="L6" s="318"/>
      <c r="M6" s="219" t="s">
        <v>33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ht="18.75" x14ac:dyDescent="0.25">
      <c r="A7" s="220" t="s">
        <v>53</v>
      </c>
      <c r="B7" s="221">
        <f>IF('foglio deposito'!F38="A",IF(F7*10&gt;MIN(6*'Verifica a Pressoflessione'!E7,0.33*MIN('foglio deposito'!C22:D22),125),1,0)+'Progetto a Taglio'!AD16,IF(F7*10&gt;MIN(8*'Verifica a Pressoflessione'!E7,0.5*MIN('foglio deposito'!C22:D22),175),1,0))</f>
        <v>0</v>
      </c>
      <c r="C7" s="310" t="str">
        <f>N16</f>
        <v>si</v>
      </c>
      <c r="D7" s="326">
        <v>8</v>
      </c>
      <c r="E7" s="327">
        <v>4</v>
      </c>
      <c r="F7" s="328">
        <v>10</v>
      </c>
      <c r="G7" s="39"/>
      <c r="H7" s="220" t="s">
        <v>53</v>
      </c>
      <c r="I7" s="221">
        <f>IF('foglio deposito'!F38="A",IF(F7*10&gt;MIN(6*'Verifica a Pressoflessione'!E9,0.33*MIN('foglio deposito'!C22:D22),125),1,0)+'Progetto a Taglio'!AD22,IF(F7*10&gt;MIN(8*'Verifica a Pressoflessione'!E9,0.5*MIN('foglio deposito'!C22:D22),175),1,0))</f>
        <v>0</v>
      </c>
      <c r="J7" s="222" t="str">
        <f>N22</f>
        <v>si</v>
      </c>
      <c r="K7" s="223">
        <f>D7</f>
        <v>8</v>
      </c>
      <c r="L7" s="332">
        <v>2</v>
      </c>
      <c r="M7" s="224">
        <f>F7</f>
        <v>10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ht="19.5" thickBot="1" x14ac:dyDescent="0.3">
      <c r="A8" s="220" t="s">
        <v>42</v>
      </c>
      <c r="B8" s="221">
        <f>IF('foglio deposito'!F38="A",IF(F8*10&gt;MIN(6*'Verifica a Pressoflessione'!E7,0.33*MIN('foglio deposito'!C22:D22),125),1,0)+'Progetto a Taglio'!AD17,IF(F8*10&gt;MIN(8*'Verifica a Pressoflessione'!E7,0.5*MIN('foglio deposito'!C22:D22),175),1,0))</f>
        <v>0</v>
      </c>
      <c r="C8" s="310" t="str">
        <f>N17</f>
        <v>si</v>
      </c>
      <c r="D8" s="329">
        <v>8</v>
      </c>
      <c r="E8" s="330">
        <v>4</v>
      </c>
      <c r="F8" s="331">
        <v>10</v>
      </c>
      <c r="G8" s="39"/>
      <c r="H8" s="220" t="s">
        <v>42</v>
      </c>
      <c r="I8" s="221">
        <f>IF('foglio deposito'!F38="A",IF(F7*10&gt;MIN(6*'Verifica a Pressoflessione'!E9,0.33*MIN('foglio deposito'!C22:D22),125),1,0)+'Progetto a Taglio'!AD23,IF(F7*10&gt;MIN(8*'Verifica a Pressoflessione'!E9,0.5*MIN('foglio deposito'!C22:D22),175),1,0))</f>
        <v>0</v>
      </c>
      <c r="J8" s="222" t="str">
        <f>N23</f>
        <v>si</v>
      </c>
      <c r="K8" s="223">
        <f>D8</f>
        <v>8</v>
      </c>
      <c r="L8" s="333">
        <v>2</v>
      </c>
      <c r="M8" s="224">
        <f>F8</f>
        <v>10</v>
      </c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ht="15.75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x14ac:dyDescent="0.25">
      <c r="A10" s="225" t="s">
        <v>170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x14ac:dyDescent="0.25">
      <c r="A11" s="15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ht="15.75" x14ac:dyDescent="0.25">
      <c r="A12" s="386" t="s">
        <v>14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x14ac:dyDescent="0.25">
      <c r="A13" s="400"/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ht="18.75" customHeight="1" x14ac:dyDescent="0.25">
      <c r="A14" s="403" t="s">
        <v>15</v>
      </c>
      <c r="B14" s="404"/>
      <c r="C14" s="160" t="s">
        <v>154</v>
      </c>
      <c r="D14" s="160" t="s">
        <v>150</v>
      </c>
      <c r="E14" s="160" t="s">
        <v>155</v>
      </c>
      <c r="F14" s="160" t="s">
        <v>16</v>
      </c>
      <c r="G14" s="397" t="s">
        <v>43</v>
      </c>
      <c r="H14" s="398"/>
      <c r="I14" s="398"/>
      <c r="J14" s="399"/>
      <c r="K14" s="384" t="s">
        <v>17</v>
      </c>
      <c r="L14" s="161" t="s">
        <v>18</v>
      </c>
      <c r="M14" s="160" t="s">
        <v>149</v>
      </c>
      <c r="N14" s="160" t="s">
        <v>19</v>
      </c>
      <c r="O14" s="160" t="s">
        <v>20</v>
      </c>
      <c r="P14" s="160" t="s">
        <v>21</v>
      </c>
      <c r="Q14" s="160" t="s">
        <v>22</v>
      </c>
      <c r="R14" s="160" t="s">
        <v>161</v>
      </c>
      <c r="S14" s="160" t="s">
        <v>150</v>
      </c>
      <c r="T14" s="160" t="s">
        <v>23</v>
      </c>
      <c r="U14" s="161" t="s">
        <v>24</v>
      </c>
      <c r="V14" s="160" t="s">
        <v>25</v>
      </c>
      <c r="W14" s="161" t="s">
        <v>26</v>
      </c>
      <c r="X14" s="161" t="s">
        <v>27</v>
      </c>
      <c r="Y14" s="161" t="s">
        <v>28</v>
      </c>
      <c r="Z14" s="162" t="s">
        <v>12</v>
      </c>
      <c r="AA14" s="160" t="s">
        <v>151</v>
      </c>
      <c r="AB14" s="163" t="s">
        <v>159</v>
      </c>
      <c r="AC14" s="161" t="s">
        <v>158</v>
      </c>
      <c r="AD14" s="39"/>
      <c r="AE14" s="39"/>
    </row>
    <row r="15" spans="1:31" ht="15" customHeight="1" x14ac:dyDescent="0.25">
      <c r="A15" s="405"/>
      <c r="B15" s="406"/>
      <c r="C15" s="164" t="s">
        <v>29</v>
      </c>
      <c r="D15" s="164" t="s">
        <v>30</v>
      </c>
      <c r="E15" s="164" t="s">
        <v>31</v>
      </c>
      <c r="F15" s="164" t="s">
        <v>152</v>
      </c>
      <c r="G15" s="397"/>
      <c r="H15" s="398"/>
      <c r="I15" s="398"/>
      <c r="J15" s="399"/>
      <c r="K15" s="385"/>
      <c r="L15" s="165"/>
      <c r="M15" s="164" t="s">
        <v>31</v>
      </c>
      <c r="N15" s="164" t="s">
        <v>167</v>
      </c>
      <c r="O15" s="164" t="s">
        <v>153</v>
      </c>
      <c r="P15" s="164"/>
      <c r="Q15" s="164" t="s">
        <v>33</v>
      </c>
      <c r="R15" s="166"/>
      <c r="S15" s="166"/>
      <c r="T15" s="166"/>
      <c r="U15" s="165"/>
      <c r="V15" s="166"/>
      <c r="W15" s="165"/>
      <c r="X15" s="165"/>
      <c r="Y15" s="165"/>
      <c r="Z15" s="167">
        <f>'foglio deposito'!C22-2*('foglio deposito'!E22-8)</f>
        <v>328</v>
      </c>
      <c r="AA15" s="166"/>
      <c r="AB15" s="168"/>
      <c r="AC15" s="165"/>
      <c r="AD15" s="39"/>
      <c r="AE15" s="39"/>
    </row>
    <row r="16" spans="1:31" x14ac:dyDescent="0.25">
      <c r="A16" s="407" t="s">
        <v>34</v>
      </c>
      <c r="B16" s="408"/>
      <c r="C16" s="169">
        <f>'foglio deposito'!F22</f>
        <v>2.7</v>
      </c>
      <c r="D16" s="170">
        <f>S16</f>
        <v>815.41857421086854</v>
      </c>
      <c r="E16" s="169">
        <f>IF('foglio deposito'!$F$38="A",1.3*(D16+D17)/C16,1.1*(D16+D17)/C16)</f>
        <v>664.41513454218921</v>
      </c>
      <c r="F16" s="169">
        <f>(2*E16*1000)/(1*0.5*'foglio deposito'!$H$32*'foglio deposito'!$C$22*X16)</f>
        <v>0.87955298671151316</v>
      </c>
      <c r="G16" s="393" t="str">
        <f>IF(F16&lt;=1,"COLLASSO LATO ACCIAIO","COLLASSO CLS AUMENTARE SEZIONE o ALTEZZA PILASTRO")</f>
        <v>COLLASSO LATO ACCIAIO</v>
      </c>
      <c r="H16" s="394"/>
      <c r="I16" s="394"/>
      <c r="J16" s="395"/>
      <c r="K16" s="171">
        <f>IF((2*E16*1000)/(1*0.5*'foglio deposito'!$H$32*'foglio deposito'!$C$22*X16)&lt;=1,DEGREES(0.5*ASIN((2*E16*1000)/(1*0.5*'foglio deposito'!$H$32*'foglio deposito'!$C$22*X16))), "lp error")</f>
        <v>30.794243705666794</v>
      </c>
      <c r="L16" s="172">
        <f>IF(K16&lt;21.8,2.5,IF(K16&gt; 45,"error",1/TAN(RADIANS(K16))))</f>
        <v>1.6778988552362377</v>
      </c>
      <c r="M16" s="169">
        <f>X16*'foglio deposito'!$E$27*(P16*(O16/2)^2*PI())/(Q16*10)/1000*L16</f>
        <v>706.74182393626347</v>
      </c>
      <c r="N16" s="173" t="str">
        <f>IF(C16=0,"",IF(F16&gt;1,"no",IF(E16&lt;M16,"si","no")))</f>
        <v>si</v>
      </c>
      <c r="O16" s="174">
        <f t="shared" ref="O16:Q17" si="0">D7</f>
        <v>8</v>
      </c>
      <c r="P16" s="174">
        <f t="shared" si="0"/>
        <v>4</v>
      </c>
      <c r="Q16" s="174">
        <f t="shared" si="0"/>
        <v>10</v>
      </c>
      <c r="R16" s="175">
        <f>DATI!E66</f>
        <v>1706</v>
      </c>
      <c r="S16" s="171">
        <f>'Verifica a Pressoflessione'!K6</f>
        <v>815.41857421086854</v>
      </c>
      <c r="T16" s="171">
        <f>LOOKUP(R16,'caldom x'!W21:W277,'caldom x'!G21:G277)</f>
        <v>370.3225806451627</v>
      </c>
      <c r="U16" s="172">
        <f>LOOKUP(R16,'caldom x'!W21:W277,'caldom x'!K21:K277)</f>
        <v>0.41596638655462226</v>
      </c>
      <c r="V16" s="172">
        <f>LOOKUP(R16,'caldom x'!W21:W277,'caldom x'!M21:M277)</f>
        <v>-1691986.2365591445</v>
      </c>
      <c r="W16" s="172">
        <f>LOOKUP(R16,'caldom x'!W21:W277,'caldom x'!L21:L277)</f>
        <v>-737591.31866890797</v>
      </c>
      <c r="X16" s="176">
        <f>(W16*('foglio deposito'!$D$22/2-'foglio deposito'!$E$22)+V16*('foglio deposito'!$D$22/2-U16*T16))/(V16+W16)+('foglio deposito'!$D$22/2-'foglio deposito'!$E$22)</f>
        <v>535.36564073767272</v>
      </c>
      <c r="Y16" s="177">
        <f>100-X16/(('foglio deposito'!$D$22-'foglio deposito'!$E$22)*0.9)*100</f>
        <v>9.3215378154348372</v>
      </c>
      <c r="Z16" s="152"/>
      <c r="AA16" s="178">
        <f>(O16/2)^2*PI()*P16</f>
        <v>201.06192982974676</v>
      </c>
      <c r="AB16" s="178">
        <f>0.12*'foglio deposito'!$H$32/'foglio deposito'!$E$27*Q16*$Z$15*10</f>
        <v>141.92778666666663</v>
      </c>
      <c r="AC16" s="178" t="str">
        <f>IF(AA16&gt;=AB16,"verificato","non verificato")</f>
        <v>verificato</v>
      </c>
      <c r="AD16" s="39">
        <f>IF(AA16&gt;=AB16,0,1)</f>
        <v>0</v>
      </c>
      <c r="AE16" s="39"/>
    </row>
    <row r="17" spans="1:31" x14ac:dyDescent="0.25">
      <c r="A17" s="409" t="s">
        <v>35</v>
      </c>
      <c r="B17" s="410"/>
      <c r="C17" s="179"/>
      <c r="D17" s="170">
        <f>S17</f>
        <v>815.41857421086854</v>
      </c>
      <c r="E17" s="169"/>
      <c r="F17" s="169">
        <f>(2*E16*1000)/(1*0.5*'foglio deposito'!$H$32*'foglio deposito'!$C$22*X17)</f>
        <v>0.85925395161769103</v>
      </c>
      <c r="G17" s="393" t="str">
        <f>IF(F17&lt;=1,"COLLASSO LATO ACCIAIO","COLLASSO CLS AUMENTARE SEZIONE o ALTEZZA PILASTRO")</f>
        <v>COLLASSO LATO ACCIAIO</v>
      </c>
      <c r="H17" s="394"/>
      <c r="I17" s="394"/>
      <c r="J17" s="395"/>
      <c r="K17" s="171">
        <f>IF((((2*E16*1000)/(1*0.5*'foglio deposito'!$H$32*'foglio deposito'!$C$22*X17)))&lt;=1,DEGREES(0.5*ASIN((2*E16*1000)/(1*0.5*'foglio deposito'!$H$32*'foglio deposito'!$C$22*X17))),"lp error")</f>
        <v>29.616459771055428</v>
      </c>
      <c r="L17" s="172">
        <f>IF(K17&lt;21.8,2.5,IF(K17&gt; 45,"error",1/TAN(RADIANS(K17))))</f>
        <v>1.7591414719123257</v>
      </c>
      <c r="M17" s="169">
        <f>X17*'foglio deposito'!$E$27*(P17*(O17/2)^2*PI())/(Q17*10)/1000*L17</f>
        <v>758.46623540054338</v>
      </c>
      <c r="N17" s="173" t="str">
        <f>IF(C16=0,"",IF(F17&gt;1,"no",IF(E16&lt;M17,"si","no")))</f>
        <v>si</v>
      </c>
      <c r="O17" s="174">
        <f t="shared" si="0"/>
        <v>8</v>
      </c>
      <c r="P17" s="174">
        <f t="shared" si="0"/>
        <v>4</v>
      </c>
      <c r="Q17" s="174">
        <f t="shared" si="0"/>
        <v>10</v>
      </c>
      <c r="R17" s="175">
        <f>DATI!E67</f>
        <v>1690</v>
      </c>
      <c r="S17" s="171">
        <f>S16</f>
        <v>815.41857421086854</v>
      </c>
      <c r="T17" s="171">
        <f>LOOKUP(R17,'caldom x'!W22:W278,'caldom x'!G22:G278)</f>
        <v>333.96363636363748</v>
      </c>
      <c r="U17" s="172">
        <f>LOOKUP(R16,'caldom x'!W21:W277,'caldom x'!K21:K277)</f>
        <v>0.41596638655462226</v>
      </c>
      <c r="V17" s="172">
        <f>LOOKUP(R17,'caldom x'!W21:W277,'caldom x'!M21:M277)</f>
        <v>-1525863.9515151549</v>
      </c>
      <c r="W17" s="172">
        <f>LOOKUP(R17,'caldom x'!W21:W277,'caldom x'!L21:L277)</f>
        <v>-737591.31866890797</v>
      </c>
      <c r="X17" s="176">
        <f>(W17*('foglio deposito'!$D$22/2-'foglio deposito'!$E$22)+V17*('foglio deposito'!$D$22/2-U17*T17))/(V17+W17)+('foglio deposito'!$D$22/2-'foglio deposito'!$E$22)</f>
        <v>548.01313093414012</v>
      </c>
      <c r="Y17" s="177">
        <f>100-X17/(('foglio deposito'!$D$22-'foglio deposito'!$E$22)*0.9)*100</f>
        <v>7.1793477415074278</v>
      </c>
      <c r="Z17" s="152"/>
      <c r="AA17" s="178">
        <f>(O17/2)^2*PI()*P17</f>
        <v>201.06192982974676</v>
      </c>
      <c r="AB17" s="178">
        <f>0.12*'foglio deposito'!$H$32/'foglio deposito'!$E$27*Q17*$Z$15*10</f>
        <v>141.92778666666663</v>
      </c>
      <c r="AC17" s="178" t="str">
        <f>IF(AA17&gt;=AB17,"verificato","non verificato")</f>
        <v>verificato</v>
      </c>
      <c r="AD17" s="39">
        <f>IF(AA17&gt;=AB17,0,1)</f>
        <v>0</v>
      </c>
      <c r="AE17" s="39"/>
    </row>
    <row r="18" spans="1:31" x14ac:dyDescent="0.25">
      <c r="A18" s="401" t="s">
        <v>36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180"/>
      <c r="R18" s="41"/>
      <c r="S18" s="41"/>
      <c r="T18" s="41"/>
      <c r="U18" s="41"/>
      <c r="V18" s="39"/>
      <c r="W18" s="39"/>
      <c r="X18" s="39"/>
      <c r="Y18" s="39"/>
      <c r="Z18" s="39"/>
      <c r="AA18" s="39"/>
      <c r="AB18" s="39"/>
      <c r="AC18" s="39"/>
      <c r="AD18" s="152"/>
      <c r="AE18" s="39"/>
    </row>
    <row r="19" spans="1:31" ht="15.75" customHeight="1" x14ac:dyDescent="0.25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180"/>
      <c r="R19" s="41"/>
      <c r="S19" s="41"/>
      <c r="T19" s="41"/>
      <c r="U19" s="41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16.5" x14ac:dyDescent="0.25">
      <c r="A20" s="403" t="s">
        <v>15</v>
      </c>
      <c r="B20" s="404"/>
      <c r="C20" s="160" t="s">
        <v>154</v>
      </c>
      <c r="D20" s="160" t="s">
        <v>156</v>
      </c>
      <c r="E20" s="160" t="s">
        <v>157</v>
      </c>
      <c r="F20" s="160" t="s">
        <v>16</v>
      </c>
      <c r="G20" s="397" t="s">
        <v>43</v>
      </c>
      <c r="H20" s="398"/>
      <c r="I20" s="398"/>
      <c r="J20" s="399"/>
      <c r="K20" s="384" t="s">
        <v>17</v>
      </c>
      <c r="L20" s="161" t="s">
        <v>18</v>
      </c>
      <c r="M20" s="160" t="s">
        <v>149</v>
      </c>
      <c r="N20" s="160" t="s">
        <v>19</v>
      </c>
      <c r="O20" s="160" t="s">
        <v>20</v>
      </c>
      <c r="P20" s="160" t="s">
        <v>21</v>
      </c>
      <c r="Q20" s="181" t="s">
        <v>37</v>
      </c>
      <c r="R20" s="160" t="s">
        <v>161</v>
      </c>
      <c r="S20" s="160" t="s">
        <v>156</v>
      </c>
      <c r="T20" s="160" t="s">
        <v>23</v>
      </c>
      <c r="U20" s="161" t="s">
        <v>24</v>
      </c>
      <c r="V20" s="160" t="s">
        <v>25</v>
      </c>
      <c r="W20" s="161" t="s">
        <v>26</v>
      </c>
      <c r="X20" s="161" t="s">
        <v>27</v>
      </c>
      <c r="Y20" s="161" t="s">
        <v>28</v>
      </c>
      <c r="Z20" s="162" t="s">
        <v>13</v>
      </c>
      <c r="AA20" s="160" t="s">
        <v>151</v>
      </c>
      <c r="AB20" s="163" t="s">
        <v>160</v>
      </c>
      <c r="AC20" s="161" t="s">
        <v>158</v>
      </c>
      <c r="AD20" s="39"/>
      <c r="AE20" s="39"/>
    </row>
    <row r="21" spans="1:31" x14ac:dyDescent="0.25">
      <c r="A21" s="405"/>
      <c r="B21" s="406"/>
      <c r="C21" s="164" t="s">
        <v>29</v>
      </c>
      <c r="D21" s="164" t="s">
        <v>30</v>
      </c>
      <c r="E21" s="164" t="s">
        <v>31</v>
      </c>
      <c r="F21" s="164" t="s">
        <v>152</v>
      </c>
      <c r="G21" s="397"/>
      <c r="H21" s="398"/>
      <c r="I21" s="398"/>
      <c r="J21" s="399"/>
      <c r="K21" s="385"/>
      <c r="L21" s="165"/>
      <c r="M21" s="164" t="s">
        <v>31</v>
      </c>
      <c r="N21" s="164" t="s">
        <v>167</v>
      </c>
      <c r="O21" s="164" t="s">
        <v>153</v>
      </c>
      <c r="P21" s="164"/>
      <c r="Q21" s="182" t="s">
        <v>33</v>
      </c>
      <c r="R21" s="166"/>
      <c r="S21" s="166"/>
      <c r="T21" s="166"/>
      <c r="U21" s="165"/>
      <c r="V21" s="166"/>
      <c r="W21" s="165"/>
      <c r="X21" s="165"/>
      <c r="Y21" s="165"/>
      <c r="Z21" s="167">
        <f>'foglio deposito'!D22-2*('foglio deposito'!E22-8)</f>
        <v>628</v>
      </c>
      <c r="AA21" s="166"/>
      <c r="AB21" s="168"/>
      <c r="AC21" s="165"/>
      <c r="AD21" s="39"/>
      <c r="AE21" s="39"/>
    </row>
    <row r="22" spans="1:31" x14ac:dyDescent="0.25">
      <c r="A22" s="407" t="s">
        <v>34</v>
      </c>
      <c r="B22" s="408"/>
      <c r="C22" s="169">
        <f>'foglio deposito'!F22</f>
        <v>2.7</v>
      </c>
      <c r="D22" s="170">
        <f>S22</f>
        <v>362.10150745940484</v>
      </c>
      <c r="E22" s="169">
        <f>IF('foglio deposito'!$F$38="A",1.3*(D22+D23)/C22,1.1*(D22+D23)/C22)</f>
        <v>295.04567274470025</v>
      </c>
      <c r="F22" s="169">
        <f>((2*E22*1000)/(1*0.5*'foglio deposito'!$H$32*'foglio deposito'!$D$22*X22))</f>
        <v>0.20541804344278872</v>
      </c>
      <c r="G22" s="393" t="str">
        <f>IF(F22&lt;=1,"COLLASSO LATO ACCIAIO","COLLASSO CLS AUMENTARE SEZIONE o ALTEZZA PILASTRO")</f>
        <v>COLLASSO LATO ACCIAIO</v>
      </c>
      <c r="H22" s="394"/>
      <c r="I22" s="394"/>
      <c r="J22" s="395"/>
      <c r="K22" s="171">
        <f>IF((((2*E22*1000)/(1*0.5*'foglio deposito'!$H$32*'foglio deposito'!$D$22*X22)))&lt;=1,DEGREES(0.5*ASIN((2*E22*1000)/(1*0.5*'foglio deposito'!$H$32*'foglio deposito'!$D$22*X22))),"lp error")</f>
        <v>5.9269860015254894</v>
      </c>
      <c r="L22" s="172">
        <f>IF(K22&lt;21.8,2.5,IF(K22&gt; 45,"error",1/TAN(RADIANS(K22))))</f>
        <v>2.5</v>
      </c>
      <c r="M22" s="169">
        <f>X22*'foglio deposito'!$E$27*(P22*(O22/2)^2*PI())/(Q22*10)/1000*L22</f>
        <v>572.05809008326571</v>
      </c>
      <c r="N22" s="173" t="str">
        <f>IF(C22=0,"",IF(F22&gt;1,"no",IF(E22&lt;M22,"si","no")))</f>
        <v>si</v>
      </c>
      <c r="O22" s="174">
        <f t="shared" ref="O22:Q23" si="1">K7</f>
        <v>8</v>
      </c>
      <c r="P22" s="174">
        <f t="shared" si="1"/>
        <v>2</v>
      </c>
      <c r="Q22" s="174">
        <f t="shared" si="1"/>
        <v>10</v>
      </c>
      <c r="R22" s="175">
        <f>R16</f>
        <v>1706</v>
      </c>
      <c r="S22" s="171">
        <f>'Verifica a Pressoflessione'!K7</f>
        <v>362.10150745940484</v>
      </c>
      <c r="T22" s="171">
        <f>LOOKUP(R22,'caldom y'!W21:W277,'caldom y'!G21:G277)</f>
        <v>200.96774193548464</v>
      </c>
      <c r="U22" s="172">
        <f>LOOKUP(R22,'caldom y'!W21:W277,'caldom y'!K21:K277)</f>
        <v>0.41596638655462226</v>
      </c>
      <c r="V22" s="172">
        <f>LOOKUP(R22,'caldom y'!W21:W277,'caldom y'!M21:M277)</f>
        <v>-1606871.075268822</v>
      </c>
      <c r="W22" s="172">
        <f>LOOKUP(R22,'caldom y'!W21:W277,'caldom y'!L21:L277)</f>
        <v>-491727.54577927204</v>
      </c>
      <c r="X22" s="176">
        <f>(W22*('foglio deposito'!$D$22/2-'foglio deposito'!$E$22)+V22*('foglio deposito'!$D$22/2-U22*T22))/(V22+W22)+('foglio deposito'!$D$22/2-'foglio deposito'!$E$22)</f>
        <v>581.68196493516416</v>
      </c>
      <c r="Y22" s="177">
        <f>100-X22/(('foglio deposito'!$D$22-'foglio deposito'!$E$22)*0.9)*100</f>
        <v>1.4766319554261287</v>
      </c>
      <c r="Z22" s="51"/>
      <c r="AA22" s="178">
        <f>(O22/2)^2*PI()*P22</f>
        <v>100.53096491487338</v>
      </c>
      <c r="AB22" s="178">
        <f>0.12*'foglio deposito'!$H$32/'foglio deposito'!$E$27*Q22*$Z$21*10</f>
        <v>271.73978666666653</v>
      </c>
      <c r="AC22" s="178" t="str">
        <f>IF(AA22&gt;=AB22,"verificato","non verificato")</f>
        <v>non verificato</v>
      </c>
      <c r="AD22" s="39">
        <f>IF(AA22&gt;=AB22,0,1)</f>
        <v>1</v>
      </c>
      <c r="AE22" s="39"/>
    </row>
    <row r="23" spans="1:31" x14ac:dyDescent="0.25">
      <c r="A23" s="409" t="s">
        <v>35</v>
      </c>
      <c r="B23" s="410"/>
      <c r="C23" s="179"/>
      <c r="D23" s="183">
        <f>S23</f>
        <v>362.10150745940484</v>
      </c>
      <c r="E23" s="179"/>
      <c r="F23" s="184">
        <f>((2*E22*1000)/(1*0.5*'foglio deposito'!$H$32*'foglio deposito'!$D$22*X23))</f>
        <v>0.20541804344278872</v>
      </c>
      <c r="G23" s="393" t="str">
        <f>IF(F23&lt;=1,"COLLASSO LATO ACCIAIO","COLLASSO CLS AUMENTARE SEZIONE o ALTEZZA PILASTRO")</f>
        <v>COLLASSO LATO ACCIAIO</v>
      </c>
      <c r="H23" s="394"/>
      <c r="I23" s="394"/>
      <c r="J23" s="395"/>
      <c r="K23" s="185">
        <f>IF((((2*E22*1000)/(1*0.5*'foglio deposito'!$H$32*'foglio deposito'!$D$22*X23)))&lt;=1,DEGREES(0.5*ASIN((2*E22*1000)/(1*0.5*'foglio deposito'!$H$32*'foglio deposito'!$D$22*X23))),"lp error")</f>
        <v>5.9269860015254894</v>
      </c>
      <c r="L23" s="186">
        <f>IF(K23&lt;21.8,2.5,IF(K23&gt; 45,"error",1/TAN(RADIANS(K23))))</f>
        <v>2.5</v>
      </c>
      <c r="M23" s="179">
        <f>X23*'foglio deposito'!$E$27*(P23*(O23/2)^2*PI())/(Q23*10)/1000*L23</f>
        <v>572.05809008326571</v>
      </c>
      <c r="N23" s="173" t="str">
        <f>IF(C22=0,"",IF(F23&gt;1,"no",IF(E22&lt;M23,"si","no")))</f>
        <v>si</v>
      </c>
      <c r="O23" s="174">
        <f t="shared" si="1"/>
        <v>8</v>
      </c>
      <c r="P23" s="174">
        <f t="shared" si="1"/>
        <v>2</v>
      </c>
      <c r="Q23" s="174">
        <f t="shared" si="1"/>
        <v>10</v>
      </c>
      <c r="R23" s="175">
        <f>R17</f>
        <v>1690</v>
      </c>
      <c r="S23" s="171">
        <f>S22</f>
        <v>362.10150745940484</v>
      </c>
      <c r="T23" s="171">
        <f>LOOKUP(R23,'caldom y'!W21:W277,'caldom y'!G21:G277)</f>
        <v>200.96774193548464</v>
      </c>
      <c r="U23" s="172">
        <f>LOOKUP(R23,'caldom y'!W21:W277,'caldom y'!K21:K277)</f>
        <v>0.41596638655462226</v>
      </c>
      <c r="V23" s="172">
        <f>LOOKUP(R23,'caldom y'!W21:W277,'caldom y'!M21:M277)</f>
        <v>-1606871.075268822</v>
      </c>
      <c r="W23" s="172">
        <f>LOOKUP(R23,'caldom y'!W21:W277,'caldom y'!L21:L277)</f>
        <v>-491727.54577927204</v>
      </c>
      <c r="X23" s="176">
        <f>(W23*('foglio deposito'!$D$22/2-'foglio deposito'!$E$22)+V23*('foglio deposito'!$D$22/2-U23*T23))/(V23+W23)+('foglio deposito'!$D$22/2-'foglio deposito'!$E$22)</f>
        <v>581.68196493516416</v>
      </c>
      <c r="Y23" s="177">
        <f>100-X23/(('foglio deposito'!$D$22-'foglio deposito'!$E$22)*0.9)*100</f>
        <v>1.4766319554261287</v>
      </c>
      <c r="Z23" s="51"/>
      <c r="AA23" s="178">
        <f>(O23/2)^2*PI()*P23</f>
        <v>100.53096491487338</v>
      </c>
      <c r="AB23" s="178">
        <f>0.12*'foglio deposito'!$H$32/'foglio deposito'!$E$27*Q23*$Z$21*10</f>
        <v>271.73978666666653</v>
      </c>
      <c r="AC23" s="178" t="str">
        <f>IF(AA23&gt;=AB23,"verificato","non verificato")</f>
        <v>non verificato</v>
      </c>
      <c r="AD23" s="39">
        <f>IF(AA23&gt;=AB23,0,1)</f>
        <v>1</v>
      </c>
      <c r="AE23" s="39"/>
    </row>
    <row r="24" spans="1:31" x14ac:dyDescent="0.25">
      <c r="A24" s="39"/>
      <c r="B24" s="39"/>
      <c r="C24" s="226"/>
      <c r="D24" s="39"/>
      <c r="E24" s="226"/>
      <c r="F24" s="226"/>
      <c r="G24" s="22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152"/>
      <c r="AE24" s="39"/>
    </row>
    <row r="25" spans="1:31" x14ac:dyDescent="0.25">
      <c r="A25" s="39"/>
      <c r="B25" s="39"/>
      <c r="C25" s="226"/>
      <c r="D25" s="39"/>
      <c r="E25" s="226"/>
      <c r="F25" s="226"/>
      <c r="G25" s="226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227" t="s">
        <v>38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ht="21" x14ac:dyDescent="0.35">
      <c r="A32" s="6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9" spans="1:31" x14ac:dyDescent="0.25">
      <c r="C39" s="8"/>
      <c r="E39" s="8"/>
      <c r="F39" s="8"/>
      <c r="G39" s="8"/>
    </row>
    <row r="40" spans="1:31" x14ac:dyDescent="0.25">
      <c r="C40" s="8"/>
      <c r="E40" s="8"/>
      <c r="F40" s="8"/>
      <c r="G40" s="8"/>
    </row>
  </sheetData>
  <sheetProtection password="ABEF" sheet="1" objects="1" scenarios="1" selectLockedCells="1"/>
  <protectedRanges>
    <protectedRange sqref="L7:L8" name="Intervallo2"/>
    <protectedRange sqref="D7:F8" name="Intervallo1"/>
  </protectedRanges>
  <mergeCells count="23">
    <mergeCell ref="G22:J22"/>
    <mergeCell ref="G23:J23"/>
    <mergeCell ref="A1:C1"/>
    <mergeCell ref="K14:K15"/>
    <mergeCell ref="G20:J21"/>
    <mergeCell ref="G14:J15"/>
    <mergeCell ref="G16:J16"/>
    <mergeCell ref="G17:J17"/>
    <mergeCell ref="A13:P13"/>
    <mergeCell ref="A18:P19"/>
    <mergeCell ref="A20:B21"/>
    <mergeCell ref="A16:B16"/>
    <mergeCell ref="A17:B17"/>
    <mergeCell ref="A22:B22"/>
    <mergeCell ref="A23:B23"/>
    <mergeCell ref="A14:B15"/>
    <mergeCell ref="K20:K21"/>
    <mergeCell ref="A12:P12"/>
    <mergeCell ref="D4:F4"/>
    <mergeCell ref="B5:B6"/>
    <mergeCell ref="C5:C6"/>
    <mergeCell ref="I5:I6"/>
    <mergeCell ref="J5:J6"/>
  </mergeCells>
  <conditionalFormatting sqref="C7:C8 J7:J8">
    <cfRule type="cellIs" dxfId="1" priority="4" operator="equal">
      <formula>"si"</formula>
    </cfRule>
  </conditionalFormatting>
  <conditionalFormatting sqref="B7:B8 I7:I8">
    <cfRule type="cellIs" dxfId="0" priority="3" operator="lessThan">
      <formula>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>
              <from>
                <xdr:col>5</xdr:col>
                <xdr:colOff>266700</xdr:colOff>
                <xdr:row>24</xdr:row>
                <xdr:rowOff>57150</xdr:rowOff>
              </from>
              <to>
                <xdr:col>8</xdr:col>
                <xdr:colOff>47625</xdr:colOff>
                <xdr:row>27</xdr:row>
                <xdr:rowOff>28575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autoPict="0" r:id="rId6">
            <anchor moveWithCells="1">
              <from>
                <xdr:col>1</xdr:col>
                <xdr:colOff>57150</xdr:colOff>
                <xdr:row>24</xdr:row>
                <xdr:rowOff>85725</xdr:rowOff>
              </from>
              <to>
                <xdr:col>3</xdr:col>
                <xdr:colOff>647700</xdr:colOff>
                <xdr:row>27</xdr:row>
                <xdr:rowOff>57150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autoPict="0" r:id="rId8">
            <anchor moveWithCells="1">
              <from>
                <xdr:col>9</xdr:col>
                <xdr:colOff>428625</xdr:colOff>
                <xdr:row>24</xdr:row>
                <xdr:rowOff>38100</xdr:rowOff>
              </from>
              <to>
                <xdr:col>12</xdr:col>
                <xdr:colOff>133350</xdr:colOff>
                <xdr:row>27</xdr:row>
                <xdr:rowOff>9525</xdr:rowOff>
              </to>
            </anchor>
          </objectPr>
        </oleObject>
      </mc:Choice>
      <mc:Fallback>
        <oleObject progId="Equation.DSMT4" shapeId="1027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T26" sqref="T26"/>
    </sheetView>
  </sheetViews>
  <sheetFormatPr defaultRowHeight="15" x14ac:dyDescent="0.25"/>
  <sheetData/>
  <sheetProtection password="ABEF" sheet="1" objects="1" scenarios="1" selectLockedCells="1" selectUnlockedCell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0"/>
  <dimension ref="A1:AT447"/>
  <sheetViews>
    <sheetView showGridLines="0" showRowColHeaders="0" zoomScale="55" zoomScaleNormal="55" workbookViewId="0">
      <selection activeCell="M9" sqref="M9"/>
    </sheetView>
  </sheetViews>
  <sheetFormatPr defaultRowHeight="15" x14ac:dyDescent="0.25"/>
  <cols>
    <col min="2" max="2" width="23.5703125" customWidth="1"/>
    <col min="3" max="3" width="15.7109375" customWidth="1"/>
    <col min="4" max="4" width="15.85546875" customWidth="1"/>
    <col min="5" max="5" width="16.28515625" customWidth="1"/>
    <col min="6" max="6" width="20.140625" customWidth="1"/>
    <col min="7" max="7" width="17.42578125" customWidth="1"/>
    <col min="8" max="8" width="16.5703125" customWidth="1"/>
    <col min="9" max="9" width="15.5703125" customWidth="1"/>
    <col min="10" max="10" width="10.42578125" customWidth="1"/>
    <col min="11" max="11" width="20.5703125" customWidth="1"/>
    <col min="12" max="12" width="20.7109375" customWidth="1"/>
    <col min="13" max="13" width="20.5703125" customWidth="1"/>
    <col min="14" max="14" width="18.85546875" customWidth="1"/>
    <col min="15" max="15" width="20.5703125" customWidth="1"/>
    <col min="16" max="16" width="27.42578125" customWidth="1"/>
    <col min="17" max="19" width="15.7109375" customWidth="1"/>
    <col min="20" max="20" width="13.5703125" customWidth="1"/>
    <col min="21" max="21" width="13.85546875" customWidth="1"/>
    <col min="22" max="22" width="17.7109375" customWidth="1"/>
    <col min="23" max="23" width="15.85546875" customWidth="1"/>
    <col min="24" max="24" width="18.140625" customWidth="1"/>
    <col min="25" max="25" width="22.140625" customWidth="1"/>
    <col min="26" max="26" width="16.42578125" customWidth="1"/>
    <col min="27" max="27" width="32.42578125" customWidth="1"/>
    <col min="28" max="28" width="16.42578125" customWidth="1"/>
    <col min="29" max="29" width="15" customWidth="1"/>
  </cols>
  <sheetData>
    <row r="1" spans="1:46" ht="68.25" x14ac:dyDescent="0.25">
      <c r="A1" s="39"/>
      <c r="B1" s="418" t="s">
        <v>44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ht="28.5" x14ac:dyDescent="0.25">
      <c r="A2" s="39"/>
      <c r="B2" s="420" t="s">
        <v>45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</row>
    <row r="3" spans="1:46" ht="36" x14ac:dyDescent="0.25">
      <c r="A3" s="39"/>
      <c r="B3" s="417" t="s">
        <v>46</v>
      </c>
      <c r="C3" s="37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41"/>
      <c r="V3" s="41"/>
      <c r="W3" s="41"/>
      <c r="X3" s="41"/>
      <c r="Y3" s="41"/>
      <c r="Z3" s="41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</row>
    <row r="4" spans="1:46" ht="26.25" x14ac:dyDescent="0.25">
      <c r="A4" s="39"/>
      <c r="B4" s="421" t="s">
        <v>47</v>
      </c>
      <c r="C4" s="422"/>
      <c r="D4" s="422"/>
      <c r="E4" s="422"/>
      <c r="F4" s="422"/>
      <c r="G4" s="423"/>
      <c r="H4" s="421" t="s">
        <v>48</v>
      </c>
      <c r="I4" s="424"/>
      <c r="J4" s="424"/>
      <c r="K4" s="423"/>
      <c r="L4" s="421" t="s">
        <v>49</v>
      </c>
      <c r="M4" s="425"/>
      <c r="N4" s="425"/>
      <c r="O4" s="426"/>
      <c r="P4" s="421" t="s">
        <v>50</v>
      </c>
      <c r="Q4" s="422"/>
      <c r="R4" s="422"/>
      <c r="S4" s="423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46" ht="21" x14ac:dyDescent="0.35">
      <c r="A5" s="39"/>
      <c r="B5" s="42"/>
      <c r="C5" s="43"/>
      <c r="D5" s="43"/>
      <c r="E5" s="43"/>
      <c r="F5" s="41"/>
      <c r="G5" s="44"/>
      <c r="H5" s="45"/>
      <c r="I5" s="41"/>
      <c r="J5" s="41"/>
      <c r="K5" s="44"/>
      <c r="L5" s="39"/>
      <c r="M5" s="39"/>
      <c r="N5" s="39"/>
      <c r="O5" s="39"/>
      <c r="P5" s="46"/>
      <c r="Q5" s="41"/>
      <c r="R5" s="41"/>
      <c r="S5" s="44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21" x14ac:dyDescent="0.35">
      <c r="A6" s="39"/>
      <c r="B6" s="47" t="s">
        <v>51</v>
      </c>
      <c r="C6" s="54">
        <f>'foglio deposito'!C22</f>
        <v>400</v>
      </c>
      <c r="D6" s="48" t="s">
        <v>52</v>
      </c>
      <c r="E6" s="43" t="s">
        <v>53</v>
      </c>
      <c r="F6" s="41"/>
      <c r="G6" s="44"/>
      <c r="H6" s="49" t="s">
        <v>54</v>
      </c>
      <c r="I6" s="188">
        <f>'foglio deposito'!C32</f>
        <v>30</v>
      </c>
      <c r="J6" s="48" t="s">
        <v>55</v>
      </c>
      <c r="K6" s="44"/>
      <c r="L6" s="50" t="s">
        <v>56</v>
      </c>
      <c r="M6" s="66">
        <f>'foglio deposito'!C27</f>
        <v>450</v>
      </c>
      <c r="N6" s="48" t="s">
        <v>55</v>
      </c>
      <c r="O6" s="51"/>
      <c r="P6" s="46"/>
      <c r="Q6" s="48"/>
      <c r="R6" s="52"/>
      <c r="S6" s="44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</row>
    <row r="7" spans="1:46" ht="21" x14ac:dyDescent="0.35">
      <c r="A7" s="39"/>
      <c r="B7" s="53"/>
      <c r="C7" s="54"/>
      <c r="D7" s="55"/>
      <c r="E7" s="43"/>
      <c r="F7" s="41"/>
      <c r="G7" s="44"/>
      <c r="H7" s="56"/>
      <c r="I7" s="57" t="str">
        <f>IF(I6&gt;50,"CONCRETE ERROR",IF(I6&lt;5,"CONCRETE ERROR",""))</f>
        <v/>
      </c>
      <c r="J7" s="56"/>
      <c r="K7" s="44"/>
      <c r="L7" s="50"/>
      <c r="M7" s="60"/>
      <c r="N7" s="48"/>
      <c r="O7" s="50"/>
      <c r="P7" s="59"/>
      <c r="Q7" s="60"/>
      <c r="R7" s="60"/>
      <c r="S7" s="44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</row>
    <row r="8" spans="1:46" ht="21" x14ac:dyDescent="0.35">
      <c r="A8" s="39"/>
      <c r="B8" s="47" t="s">
        <v>57</v>
      </c>
      <c r="C8" s="54">
        <f>'foglio deposito'!D22</f>
        <v>700</v>
      </c>
      <c r="D8" s="48" t="s">
        <v>52</v>
      </c>
      <c r="E8" s="43" t="s">
        <v>58</v>
      </c>
      <c r="F8" s="41"/>
      <c r="G8" s="44"/>
      <c r="H8" s="50" t="s">
        <v>59</v>
      </c>
      <c r="I8" s="66">
        <f>'foglio deposito'!D32</f>
        <v>1.5</v>
      </c>
      <c r="J8" s="48" t="s">
        <v>60</v>
      </c>
      <c r="K8" s="44"/>
      <c r="L8" s="61" t="s">
        <v>61</v>
      </c>
      <c r="M8" s="72">
        <v>67.5</v>
      </c>
      <c r="N8" s="48" t="s">
        <v>62</v>
      </c>
      <c r="O8" s="50"/>
      <c r="P8" s="59"/>
      <c r="Q8" s="60"/>
      <c r="R8" s="60"/>
      <c r="S8" s="62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</row>
    <row r="9" spans="1:46" ht="21" x14ac:dyDescent="0.35">
      <c r="A9" s="39"/>
      <c r="B9" s="53"/>
      <c r="C9" s="54"/>
      <c r="D9" s="55"/>
      <c r="E9" s="43"/>
      <c r="F9" s="41"/>
      <c r="G9" s="44"/>
      <c r="H9" s="63"/>
      <c r="I9" s="41"/>
      <c r="J9" s="64"/>
      <c r="K9" s="44"/>
      <c r="L9" s="64"/>
      <c r="M9" s="57" t="str">
        <f>IF(M8&lt;-I12, "steel ERROR","")</f>
        <v/>
      </c>
      <c r="N9" s="63"/>
      <c r="O9" s="50"/>
      <c r="P9" s="46"/>
      <c r="Q9" s="65"/>
      <c r="R9" s="65"/>
      <c r="S9" s="44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</row>
    <row r="10" spans="1:46" ht="21" x14ac:dyDescent="0.35">
      <c r="A10" s="39"/>
      <c r="B10" s="47" t="s">
        <v>63</v>
      </c>
      <c r="C10" s="81">
        <f>'foglio deposito'!E22</f>
        <v>44</v>
      </c>
      <c r="D10" s="48" t="s">
        <v>52</v>
      </c>
      <c r="E10" s="43" t="s">
        <v>64</v>
      </c>
      <c r="F10" s="41"/>
      <c r="G10" s="44"/>
      <c r="H10" s="49" t="s">
        <v>65</v>
      </c>
      <c r="I10" s="66">
        <f>I6*0.83/I8</f>
        <v>16.599999999999998</v>
      </c>
      <c r="J10" s="48" t="s">
        <v>55</v>
      </c>
      <c r="K10" s="44"/>
      <c r="L10" s="61" t="s">
        <v>66</v>
      </c>
      <c r="M10" s="60">
        <v>1.87</v>
      </c>
      <c r="N10" s="48" t="s">
        <v>62</v>
      </c>
      <c r="O10" s="50"/>
      <c r="P10" s="46"/>
      <c r="Q10" s="41"/>
      <c r="R10" s="41"/>
      <c r="S10" s="6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</row>
    <row r="11" spans="1:46" ht="21" x14ac:dyDescent="0.35">
      <c r="A11" s="39"/>
      <c r="B11" s="46"/>
      <c r="C11" s="57" t="str">
        <f>IF(C10&lt;10,"h' ERROR","")</f>
        <v/>
      </c>
      <c r="D11" s="63"/>
      <c r="E11" s="43" t="s">
        <v>67</v>
      </c>
      <c r="F11" s="41"/>
      <c r="G11" s="44"/>
      <c r="H11" s="56"/>
      <c r="I11" s="65"/>
      <c r="J11" s="56"/>
      <c r="K11" s="44"/>
      <c r="L11" s="39"/>
      <c r="M11" s="39"/>
      <c r="N11" s="39"/>
      <c r="O11" s="67"/>
      <c r="P11" s="59" t="s">
        <v>68</v>
      </c>
      <c r="Q11" s="66">
        <f>'Verifica a Pressoflessione'!F7</f>
        <v>1884.9555921538758</v>
      </c>
      <c r="R11" s="48" t="s">
        <v>69</v>
      </c>
      <c r="S11" s="44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</row>
    <row r="12" spans="1:46" ht="21" x14ac:dyDescent="0.25">
      <c r="A12" s="39"/>
      <c r="B12" s="46"/>
      <c r="C12" s="39"/>
      <c r="D12" s="39"/>
      <c r="E12" s="39"/>
      <c r="F12" s="41"/>
      <c r="G12" s="44"/>
      <c r="H12" s="61" t="s">
        <v>70</v>
      </c>
      <c r="I12" s="60">
        <v>-3.5</v>
      </c>
      <c r="J12" s="48" t="s">
        <v>62</v>
      </c>
      <c r="K12" s="44"/>
      <c r="L12" s="50" t="s">
        <v>71</v>
      </c>
      <c r="M12" s="60">
        <v>1.1499999999999999</v>
      </c>
      <c r="N12" s="50" t="s">
        <v>60</v>
      </c>
      <c r="O12" s="67"/>
      <c r="P12" s="59" t="s">
        <v>72</v>
      </c>
      <c r="Q12" s="66">
        <f>Q11</f>
        <v>1884.9555921538758</v>
      </c>
      <c r="R12" s="48" t="s">
        <v>69</v>
      </c>
      <c r="S12" s="4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</row>
    <row r="13" spans="1:46" ht="21" x14ac:dyDescent="0.35">
      <c r="A13" s="39"/>
      <c r="B13" s="47" t="s">
        <v>73</v>
      </c>
      <c r="C13" s="54">
        <f>IF((C10*2+(R7/2+R8/2))&gt;C8, "h' ERROR", C8-C10 )</f>
        <v>656</v>
      </c>
      <c r="D13" s="48" t="s">
        <v>52</v>
      </c>
      <c r="E13" s="43" t="s">
        <v>74</v>
      </c>
      <c r="F13" s="41"/>
      <c r="G13" s="44"/>
      <c r="H13" s="68"/>
      <c r="I13" s="69"/>
      <c r="J13" s="68"/>
      <c r="K13" s="44"/>
      <c r="L13" s="50"/>
      <c r="M13" s="51"/>
      <c r="N13" s="67"/>
      <c r="O13" s="70"/>
      <c r="P13" s="61" t="s">
        <v>75</v>
      </c>
      <c r="Q13" s="71">
        <f>Q11*$M$14/($C$6*$C$8*$I$10)</f>
        <v>0.1586900427428804</v>
      </c>
      <c r="R13" s="50" t="s">
        <v>60</v>
      </c>
      <c r="S13" s="44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</row>
    <row r="14" spans="1:46" ht="21" x14ac:dyDescent="0.35">
      <c r="A14" s="39"/>
      <c r="B14" s="42"/>
      <c r="C14" s="43"/>
      <c r="D14" s="55"/>
      <c r="E14" s="43"/>
      <c r="F14" s="41"/>
      <c r="G14" s="44"/>
      <c r="H14" s="61" t="s">
        <v>76</v>
      </c>
      <c r="I14" s="72">
        <v>-2</v>
      </c>
      <c r="J14" s="48" t="s">
        <v>62</v>
      </c>
      <c r="K14" s="44"/>
      <c r="L14" s="50" t="s">
        <v>77</v>
      </c>
      <c r="M14" s="73">
        <f>M6/M12</f>
        <v>391.304347826087</v>
      </c>
      <c r="N14" s="48" t="s">
        <v>55</v>
      </c>
      <c r="O14" s="74"/>
      <c r="P14" s="61" t="s">
        <v>78</v>
      </c>
      <c r="Q14" s="71">
        <f>Q12*$M$14/($C$6*$C$8*$I$10)</f>
        <v>0.1586900427428804</v>
      </c>
      <c r="R14" s="50" t="s">
        <v>60</v>
      </c>
      <c r="S14" s="4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</row>
    <row r="15" spans="1:46" ht="21" x14ac:dyDescent="0.35">
      <c r="A15" s="39"/>
      <c r="B15" s="46"/>
      <c r="C15" s="41"/>
      <c r="D15" s="41"/>
      <c r="E15" s="41"/>
      <c r="F15" s="41"/>
      <c r="G15" s="44"/>
      <c r="H15" s="75"/>
      <c r="I15" s="76"/>
      <c r="J15" s="77"/>
      <c r="K15" s="44"/>
      <c r="L15" s="64"/>
      <c r="M15" s="78"/>
      <c r="N15" s="64"/>
      <c r="O15" s="79"/>
      <c r="P15" s="39"/>
      <c r="Q15" s="39"/>
      <c r="R15" s="39"/>
      <c r="S15" s="44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</row>
    <row r="16" spans="1:46" ht="21" x14ac:dyDescent="0.35">
      <c r="A16" s="39"/>
      <c r="B16" s="46"/>
      <c r="C16" s="41"/>
      <c r="D16" s="41"/>
      <c r="E16" s="41"/>
      <c r="F16" s="41"/>
      <c r="G16" s="44"/>
      <c r="H16" s="80" t="s">
        <v>79</v>
      </c>
      <c r="I16" s="66">
        <v>0.85</v>
      </c>
      <c r="J16" s="48" t="s">
        <v>60</v>
      </c>
      <c r="K16" s="44"/>
      <c r="L16" s="50" t="s">
        <v>80</v>
      </c>
      <c r="M16" s="81">
        <f>M14/(M10*10^-3)</f>
        <v>209253.66193908395</v>
      </c>
      <c r="N16" s="48" t="s">
        <v>55</v>
      </c>
      <c r="O16" s="79"/>
      <c r="P16" s="39"/>
      <c r="Q16" s="39"/>
      <c r="R16" s="39"/>
      <c r="S16" s="4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</row>
    <row r="17" spans="1:46" x14ac:dyDescent="0.25">
      <c r="A17" s="39"/>
      <c r="B17" s="82"/>
      <c r="C17" s="39"/>
      <c r="D17" s="39"/>
      <c r="E17" s="39"/>
      <c r="F17" s="39"/>
      <c r="G17" s="83"/>
      <c r="H17" s="39"/>
      <c r="I17" s="39"/>
      <c r="J17" s="39"/>
      <c r="K17" s="44"/>
      <c r="L17" s="39"/>
      <c r="M17" s="39"/>
      <c r="N17" s="39"/>
      <c r="O17" s="84"/>
      <c r="P17" s="39"/>
      <c r="Q17" s="39"/>
      <c r="R17" s="39"/>
      <c r="S17" s="85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ht="21" x14ac:dyDescent="0.25">
      <c r="A18" s="39"/>
      <c r="B18" s="411" t="str">
        <f>IF(C6=C8,"SEZIONE QUADRATA","SEZIONE RETTANGOLARE")</f>
        <v>SEZIONE RETTANGOLARE</v>
      </c>
      <c r="C18" s="412"/>
      <c r="D18" s="412"/>
      <c r="E18" s="412"/>
      <c r="F18" s="412"/>
      <c r="G18" s="413"/>
      <c r="H18" s="86"/>
      <c r="I18" s="87"/>
      <c r="J18" s="87"/>
      <c r="K18" s="88"/>
      <c r="L18" s="411" t="s">
        <v>81</v>
      </c>
      <c r="M18" s="412"/>
      <c r="N18" s="412"/>
      <c r="O18" s="413"/>
      <c r="P18" s="414" t="str">
        <f>IF(Q11=Q12, "ARMATURA SIMMETRICA", "-")</f>
        <v>ARMATURA SIMMETRICA</v>
      </c>
      <c r="Q18" s="415"/>
      <c r="R18" s="415"/>
      <c r="S18" s="41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46" ht="36" x14ac:dyDescent="0.25">
      <c r="A19" s="39"/>
      <c r="B19" s="417" t="s">
        <v>82</v>
      </c>
      <c r="C19" s="37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</row>
    <row r="20" spans="1:46" ht="21" x14ac:dyDescent="0.25">
      <c r="A20" s="39"/>
      <c r="B20" s="39"/>
      <c r="C20" s="50" t="s">
        <v>83</v>
      </c>
      <c r="D20" s="50" t="s">
        <v>84</v>
      </c>
      <c r="E20" s="50" t="s">
        <v>85</v>
      </c>
      <c r="F20" s="90" t="s">
        <v>86</v>
      </c>
      <c r="G20" s="50" t="s">
        <v>87</v>
      </c>
      <c r="H20" s="50" t="s">
        <v>88</v>
      </c>
      <c r="I20" s="50" t="s">
        <v>89</v>
      </c>
      <c r="J20" s="48" t="s">
        <v>90</v>
      </c>
      <c r="K20" s="48" t="s">
        <v>24</v>
      </c>
      <c r="L20" s="50" t="s">
        <v>91</v>
      </c>
      <c r="M20" s="50" t="s">
        <v>92</v>
      </c>
      <c r="N20" s="50" t="s">
        <v>93</v>
      </c>
      <c r="O20" s="50" t="s">
        <v>94</v>
      </c>
      <c r="P20" s="50" t="s">
        <v>95</v>
      </c>
      <c r="Q20" s="91" t="s">
        <v>96</v>
      </c>
      <c r="R20" s="91" t="s">
        <v>97</v>
      </c>
      <c r="S20" s="50" t="s">
        <v>98</v>
      </c>
      <c r="T20" s="50" t="s">
        <v>99</v>
      </c>
      <c r="U20" s="50" t="s">
        <v>100</v>
      </c>
      <c r="V20" s="50" t="s">
        <v>101</v>
      </c>
      <c r="W20" s="50" t="s">
        <v>102</v>
      </c>
      <c r="X20" s="50" t="s">
        <v>103</v>
      </c>
      <c r="Y20" s="50" t="s">
        <v>103</v>
      </c>
      <c r="Z20" s="50" t="s">
        <v>104</v>
      </c>
      <c r="AA20" s="50" t="s">
        <v>105</v>
      </c>
      <c r="AB20" s="50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</row>
    <row r="21" spans="1:46" ht="26.25" x14ac:dyDescent="0.25">
      <c r="A21" s="39"/>
      <c r="B21" s="92" t="s">
        <v>106</v>
      </c>
      <c r="C21" s="93" t="s">
        <v>107</v>
      </c>
      <c r="D21" s="94">
        <f>$M$8*10^-3</f>
        <v>6.7500000000000004E-2</v>
      </c>
      <c r="E21" s="94">
        <f>$M$8*10^-3</f>
        <v>6.7500000000000004E-2</v>
      </c>
      <c r="F21" s="93" t="s">
        <v>107</v>
      </c>
      <c r="G21" s="95" t="e">
        <f t="shared" ref="G21:G84" si="0">(E21*$C$13-D21*$C$10)/(E21-D21)</f>
        <v>#DIV/0!</v>
      </c>
      <c r="H21" s="71">
        <v>0</v>
      </c>
      <c r="I21" s="71">
        <v>0</v>
      </c>
      <c r="J21" s="71">
        <v>0</v>
      </c>
      <c r="K21" s="71">
        <v>0</v>
      </c>
      <c r="L21" s="96">
        <f>IF(E21&gt;=($M$10*10^-3),$M$14*$Q$12,IF(E21&gt;=(-$M$10*10^-3),$M$16*E21*$Q$12,-$M$14*$Q$12))</f>
        <v>737591.31866890797</v>
      </c>
      <c r="M21" s="96">
        <v>0</v>
      </c>
      <c r="N21" s="96">
        <f>IF(D21&gt;=($M$10*10^-3),$M$14*$Q$11,IF(D21&gt;=(-$M$10*10^-3),$Q$11*$M$16*D21,-$M$14*$Q$11))</f>
        <v>737591.31866890797</v>
      </c>
      <c r="O21" s="96">
        <f>L21+M21+N21</f>
        <v>1475182.6373378159</v>
      </c>
      <c r="P21" s="96">
        <f t="shared" ref="P21:P84" si="1">-L21*($C$13/2)+N21*($C$13/2)</f>
        <v>0</v>
      </c>
      <c r="Q21" s="97">
        <f>-O21/($C$6*$C$13*$I$10*$I$16)</f>
        <v>-0.39843267546634248</v>
      </c>
      <c r="R21" s="97">
        <f>P21/($C$6*$C$13^2*$I$10)</f>
        <v>0</v>
      </c>
      <c r="S21" s="71">
        <f>-1*R21</f>
        <v>0</v>
      </c>
      <c r="T21" s="98">
        <f t="shared" ref="T21:T84" si="2">P21/O21</f>
        <v>0</v>
      </c>
      <c r="U21" s="99">
        <f t="shared" ref="U21:U84" si="3">T21/$C$13</f>
        <v>0</v>
      </c>
      <c r="V21" s="93" t="str">
        <f>IF(T21&gt;=0, IF(T21&lt;=$C$8/6, "SI", "NO"),IF(T21&gt; -$C$8/6, "SI", "NO"))</f>
        <v>SI</v>
      </c>
      <c r="W21" s="95">
        <f t="shared" ref="W21:W84" si="4">-O21/10^3</f>
        <v>-1475.182637337816</v>
      </c>
      <c r="X21" s="95">
        <f t="shared" ref="X21:X84" si="5">P21/10^6</f>
        <v>0</v>
      </c>
      <c r="Y21" s="95">
        <f t="shared" ref="Y21:Y84" si="6">-P21/10^6</f>
        <v>0</v>
      </c>
      <c r="Z21" s="95">
        <f t="shared" ref="Z21:Z84" si="7">(L21+N21)/10^3</f>
        <v>1475.182637337816</v>
      </c>
      <c r="AA21" s="93" t="str">
        <f>IF(Z21&lt;1,IF(Z21&gt;-1,"ROTTURA BILANCIATA",""),"")</f>
        <v/>
      </c>
      <c r="AB21" s="100"/>
      <c r="AC21" s="71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</row>
    <row r="22" spans="1:46" ht="18.75" x14ac:dyDescent="0.25">
      <c r="A22" s="39"/>
      <c r="B22" s="39"/>
      <c r="C22" s="93" t="s">
        <v>107</v>
      </c>
      <c r="D22" s="94">
        <f t="shared" ref="D22:D85" si="8">$M$8*10^-3</f>
        <v>6.7500000000000004E-2</v>
      </c>
      <c r="E22" s="94">
        <f t="shared" ref="E22:E85" si="9">E21-(D22-($C$10/$C$13*D22))/100</f>
        <v>6.68702743902439E-2</v>
      </c>
      <c r="F22" s="93" t="s">
        <v>107</v>
      </c>
      <c r="G22" s="95">
        <f t="shared" si="0"/>
        <v>-64943.999999999302</v>
      </c>
      <c r="H22" s="71">
        <v>0</v>
      </c>
      <c r="I22" s="71">
        <v>0</v>
      </c>
      <c r="J22" s="71">
        <v>0</v>
      </c>
      <c r="K22" s="71">
        <v>0</v>
      </c>
      <c r="L22" s="96">
        <f t="shared" ref="L22:L85" si="10">IF(E22&gt;=($M$10*10^-3),$M$14*$Q$12,IF(E22&gt;=(-$M$10*10^-3),$M$16*E22*$Q$12,-$M$14*$Q$12))</f>
        <v>737591.31866890797</v>
      </c>
      <c r="M22" s="96">
        <v>0</v>
      </c>
      <c r="N22" s="96">
        <f t="shared" ref="N22:N85" si="11">IF(D22&gt;=($M$10*10^-3),$M$14*$Q$11,IF(D22&gt;=(-$M$10*10^-3),$Q$11*$M$16*D22,-$M$14*$Q$11))</f>
        <v>737591.31866890797</v>
      </c>
      <c r="O22" s="96">
        <f>L22+M22+N22</f>
        <v>1475182.6373378159</v>
      </c>
      <c r="P22" s="96">
        <f t="shared" si="1"/>
        <v>0</v>
      </c>
      <c r="Q22" s="97">
        <f t="shared" ref="Q22:Q85" si="12">-O22/($C$6*$C$13*$I$10*$I$16)</f>
        <v>-0.39843267546634248</v>
      </c>
      <c r="R22" s="97">
        <f t="shared" ref="R22:R85" si="13">P22/($C$6*$C$13^2*$I$10)</f>
        <v>0</v>
      </c>
      <c r="S22" s="71">
        <f t="shared" ref="S22:S85" si="14">-1*R22</f>
        <v>0</v>
      </c>
      <c r="T22" s="98">
        <f t="shared" si="2"/>
        <v>0</v>
      </c>
      <c r="U22" s="99">
        <f t="shared" si="3"/>
        <v>0</v>
      </c>
      <c r="V22" s="93" t="str">
        <f t="shared" ref="V22:V85" si="15">IF(T22&gt;=0, IF(T22&lt;=$C$8/6, "SI", "NO"),IF(T22&gt; -$C$8/6, "SI", "NO"))</f>
        <v>SI</v>
      </c>
      <c r="W22" s="95">
        <f t="shared" si="4"/>
        <v>-1475.182637337816</v>
      </c>
      <c r="X22" s="95">
        <f t="shared" si="5"/>
        <v>0</v>
      </c>
      <c r="Y22" s="95">
        <f t="shared" si="6"/>
        <v>0</v>
      </c>
      <c r="Z22" s="95">
        <f t="shared" si="7"/>
        <v>1475.182637337816</v>
      </c>
      <c r="AA22" s="93" t="str">
        <f t="shared" ref="AA22:AA85" si="16">IF(Z22&lt;1,IF(Z22&gt;-1,"ROTTURA BILANCIATA",""),"")</f>
        <v/>
      </c>
      <c r="AB22" s="100"/>
      <c r="AC22" s="71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</row>
    <row r="23" spans="1:46" ht="18.75" x14ac:dyDescent="0.25">
      <c r="A23" s="39"/>
      <c r="B23" s="39"/>
      <c r="C23" s="93" t="s">
        <v>107</v>
      </c>
      <c r="D23" s="94">
        <f t="shared" si="8"/>
        <v>6.7500000000000004E-2</v>
      </c>
      <c r="E23" s="94">
        <f t="shared" si="9"/>
        <v>6.6240548780487796E-2</v>
      </c>
      <c r="F23" s="93" t="s">
        <v>107</v>
      </c>
      <c r="G23" s="95">
        <f t="shared" si="0"/>
        <v>-32143.999999999647</v>
      </c>
      <c r="H23" s="71">
        <v>0</v>
      </c>
      <c r="I23" s="71">
        <v>0</v>
      </c>
      <c r="J23" s="71">
        <v>0</v>
      </c>
      <c r="K23" s="71">
        <v>0</v>
      </c>
      <c r="L23" s="96">
        <f t="shared" si="10"/>
        <v>737591.31866890797</v>
      </c>
      <c r="M23" s="96">
        <v>0</v>
      </c>
      <c r="N23" s="96">
        <f t="shared" si="11"/>
        <v>737591.31866890797</v>
      </c>
      <c r="O23" s="96">
        <f t="shared" ref="O23:O86" si="17">L23+M23+N23</f>
        <v>1475182.6373378159</v>
      </c>
      <c r="P23" s="96">
        <f t="shared" si="1"/>
        <v>0</v>
      </c>
      <c r="Q23" s="97">
        <f t="shared" si="12"/>
        <v>-0.39843267546634248</v>
      </c>
      <c r="R23" s="97">
        <f t="shared" si="13"/>
        <v>0</v>
      </c>
      <c r="S23" s="71">
        <f t="shared" si="14"/>
        <v>0</v>
      </c>
      <c r="T23" s="98">
        <f t="shared" si="2"/>
        <v>0</v>
      </c>
      <c r="U23" s="99">
        <f t="shared" si="3"/>
        <v>0</v>
      </c>
      <c r="V23" s="93" t="str">
        <f t="shared" si="15"/>
        <v>SI</v>
      </c>
      <c r="W23" s="95">
        <f t="shared" si="4"/>
        <v>-1475.182637337816</v>
      </c>
      <c r="X23" s="95">
        <f t="shared" si="5"/>
        <v>0</v>
      </c>
      <c r="Y23" s="95">
        <f t="shared" si="6"/>
        <v>0</v>
      </c>
      <c r="Z23" s="95">
        <f t="shared" si="7"/>
        <v>1475.182637337816</v>
      </c>
      <c r="AA23" s="93" t="str">
        <f t="shared" si="16"/>
        <v/>
      </c>
      <c r="AB23" s="100"/>
      <c r="AC23" s="71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</row>
    <row r="24" spans="1:46" ht="18.75" x14ac:dyDescent="0.25">
      <c r="A24" s="39"/>
      <c r="B24" s="39"/>
      <c r="C24" s="93" t="s">
        <v>107</v>
      </c>
      <c r="D24" s="94">
        <f t="shared" si="8"/>
        <v>6.7500000000000004E-2</v>
      </c>
      <c r="E24" s="94">
        <f t="shared" si="9"/>
        <v>6.5610823170731691E-2</v>
      </c>
      <c r="F24" s="93" t="s">
        <v>107</v>
      </c>
      <c r="G24" s="95">
        <f t="shared" si="0"/>
        <v>-21210.666666666431</v>
      </c>
      <c r="H24" s="71">
        <v>0</v>
      </c>
      <c r="I24" s="71">
        <v>0</v>
      </c>
      <c r="J24" s="71">
        <v>0</v>
      </c>
      <c r="K24" s="71">
        <v>0</v>
      </c>
      <c r="L24" s="96">
        <f t="shared" si="10"/>
        <v>737591.31866890797</v>
      </c>
      <c r="M24" s="96">
        <v>0</v>
      </c>
      <c r="N24" s="96">
        <f t="shared" si="11"/>
        <v>737591.31866890797</v>
      </c>
      <c r="O24" s="96">
        <f t="shared" si="17"/>
        <v>1475182.6373378159</v>
      </c>
      <c r="P24" s="96">
        <f t="shared" si="1"/>
        <v>0</v>
      </c>
      <c r="Q24" s="97">
        <f t="shared" si="12"/>
        <v>-0.39843267546634248</v>
      </c>
      <c r="R24" s="97">
        <f t="shared" si="13"/>
        <v>0</v>
      </c>
      <c r="S24" s="71">
        <f t="shared" si="14"/>
        <v>0</v>
      </c>
      <c r="T24" s="98">
        <f t="shared" si="2"/>
        <v>0</v>
      </c>
      <c r="U24" s="99">
        <f t="shared" si="3"/>
        <v>0</v>
      </c>
      <c r="V24" s="93" t="str">
        <f t="shared" si="15"/>
        <v>SI</v>
      </c>
      <c r="W24" s="95">
        <f>-O24/10^3</f>
        <v>-1475.182637337816</v>
      </c>
      <c r="X24" s="95">
        <f t="shared" si="5"/>
        <v>0</v>
      </c>
      <c r="Y24" s="95">
        <f t="shared" si="6"/>
        <v>0</v>
      </c>
      <c r="Z24" s="95">
        <f t="shared" si="7"/>
        <v>1475.182637337816</v>
      </c>
      <c r="AA24" s="93" t="str">
        <f t="shared" si="16"/>
        <v/>
      </c>
      <c r="AB24" s="100"/>
      <c r="AC24" s="71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</row>
    <row r="25" spans="1:46" ht="18.75" x14ac:dyDescent="0.25">
      <c r="A25" s="39"/>
      <c r="B25" s="39"/>
      <c r="C25" s="93" t="s">
        <v>107</v>
      </c>
      <c r="D25" s="94">
        <f t="shared" si="8"/>
        <v>6.7500000000000004E-2</v>
      </c>
      <c r="E25" s="94">
        <f t="shared" si="9"/>
        <v>6.4981097560975587E-2</v>
      </c>
      <c r="F25" s="93" t="s">
        <v>107</v>
      </c>
      <c r="G25" s="95">
        <f>(E25*$C$13-D25*$C$10)/(E25-D25)</f>
        <v>-15743.999999999825</v>
      </c>
      <c r="H25" s="71">
        <v>0</v>
      </c>
      <c r="I25" s="71">
        <v>0</v>
      </c>
      <c r="J25" s="71">
        <v>0</v>
      </c>
      <c r="K25" s="71">
        <v>0</v>
      </c>
      <c r="L25" s="96">
        <f t="shared" si="10"/>
        <v>737591.31866890797</v>
      </c>
      <c r="M25" s="96">
        <v>0</v>
      </c>
      <c r="N25" s="96">
        <f t="shared" si="11"/>
        <v>737591.31866890797</v>
      </c>
      <c r="O25" s="96">
        <f t="shared" si="17"/>
        <v>1475182.6373378159</v>
      </c>
      <c r="P25" s="96">
        <f t="shared" si="1"/>
        <v>0</v>
      </c>
      <c r="Q25" s="97">
        <f t="shared" si="12"/>
        <v>-0.39843267546634248</v>
      </c>
      <c r="R25" s="97">
        <f t="shared" si="13"/>
        <v>0</v>
      </c>
      <c r="S25" s="71">
        <f t="shared" si="14"/>
        <v>0</v>
      </c>
      <c r="T25" s="98">
        <f t="shared" si="2"/>
        <v>0</v>
      </c>
      <c r="U25" s="99">
        <f t="shared" si="3"/>
        <v>0</v>
      </c>
      <c r="V25" s="93" t="str">
        <f t="shared" si="15"/>
        <v>SI</v>
      </c>
      <c r="W25" s="95">
        <f t="shared" si="4"/>
        <v>-1475.182637337816</v>
      </c>
      <c r="X25" s="95">
        <f t="shared" si="5"/>
        <v>0</v>
      </c>
      <c r="Y25" s="95">
        <f t="shared" si="6"/>
        <v>0</v>
      </c>
      <c r="Z25" s="95">
        <f t="shared" si="7"/>
        <v>1475.182637337816</v>
      </c>
      <c r="AA25" s="93" t="str">
        <f t="shared" si="16"/>
        <v/>
      </c>
      <c r="AB25" s="100"/>
      <c r="AC25" s="71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</row>
    <row r="26" spans="1:46" ht="18.75" x14ac:dyDescent="0.25">
      <c r="A26" s="39"/>
      <c r="B26" s="39"/>
      <c r="C26" s="93" t="s">
        <v>107</v>
      </c>
      <c r="D26" s="94">
        <f t="shared" si="8"/>
        <v>6.7500000000000004E-2</v>
      </c>
      <c r="E26" s="94">
        <f t="shared" si="9"/>
        <v>6.4351371951219483E-2</v>
      </c>
      <c r="F26" s="93" t="s">
        <v>107</v>
      </c>
      <c r="G26" s="95">
        <f t="shared" si="0"/>
        <v>-12463.99999999986</v>
      </c>
      <c r="H26" s="71">
        <v>0</v>
      </c>
      <c r="I26" s="71">
        <v>0</v>
      </c>
      <c r="J26" s="71">
        <v>0</v>
      </c>
      <c r="K26" s="71">
        <v>0</v>
      </c>
      <c r="L26" s="96">
        <f t="shared" si="10"/>
        <v>737591.31866890797</v>
      </c>
      <c r="M26" s="96">
        <v>0</v>
      </c>
      <c r="N26" s="96">
        <f t="shared" si="11"/>
        <v>737591.31866890797</v>
      </c>
      <c r="O26" s="96">
        <f t="shared" si="17"/>
        <v>1475182.6373378159</v>
      </c>
      <c r="P26" s="96">
        <f t="shared" si="1"/>
        <v>0</v>
      </c>
      <c r="Q26" s="97">
        <f t="shared" si="12"/>
        <v>-0.39843267546634248</v>
      </c>
      <c r="R26" s="97">
        <f t="shared" si="13"/>
        <v>0</v>
      </c>
      <c r="S26" s="71">
        <f t="shared" si="14"/>
        <v>0</v>
      </c>
      <c r="T26" s="98">
        <f t="shared" si="2"/>
        <v>0</v>
      </c>
      <c r="U26" s="99">
        <f t="shared" si="3"/>
        <v>0</v>
      </c>
      <c r="V26" s="93" t="str">
        <f t="shared" si="15"/>
        <v>SI</v>
      </c>
      <c r="W26" s="95">
        <f t="shared" si="4"/>
        <v>-1475.182637337816</v>
      </c>
      <c r="X26" s="95">
        <f t="shared" si="5"/>
        <v>0</v>
      </c>
      <c r="Y26" s="95">
        <f t="shared" si="6"/>
        <v>0</v>
      </c>
      <c r="Z26" s="95">
        <f t="shared" si="7"/>
        <v>1475.182637337816</v>
      </c>
      <c r="AA26" s="93" t="str">
        <f t="shared" si="16"/>
        <v/>
      </c>
      <c r="AB26" s="100"/>
      <c r="AC26" s="71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</row>
    <row r="27" spans="1:46" ht="18.75" x14ac:dyDescent="0.25">
      <c r="A27" s="39"/>
      <c r="B27" s="39"/>
      <c r="C27" s="93" t="s">
        <v>107</v>
      </c>
      <c r="D27" s="94">
        <f t="shared" si="8"/>
        <v>6.7500000000000004E-2</v>
      </c>
      <c r="E27" s="94">
        <f t="shared" si="9"/>
        <v>6.3721646341463378E-2</v>
      </c>
      <c r="F27" s="93" t="s">
        <v>107</v>
      </c>
      <c r="G27" s="95">
        <f t="shared" si="0"/>
        <v>-10277.333333333216</v>
      </c>
      <c r="H27" s="71">
        <v>0</v>
      </c>
      <c r="I27" s="71">
        <v>0</v>
      </c>
      <c r="J27" s="71">
        <v>0</v>
      </c>
      <c r="K27" s="71">
        <v>0</v>
      </c>
      <c r="L27" s="96">
        <f t="shared" si="10"/>
        <v>737591.31866890797</v>
      </c>
      <c r="M27" s="96">
        <v>0</v>
      </c>
      <c r="N27" s="96">
        <f t="shared" si="11"/>
        <v>737591.31866890797</v>
      </c>
      <c r="O27" s="96">
        <f t="shared" si="17"/>
        <v>1475182.6373378159</v>
      </c>
      <c r="P27" s="96">
        <f t="shared" si="1"/>
        <v>0</v>
      </c>
      <c r="Q27" s="97">
        <f t="shared" si="12"/>
        <v>-0.39843267546634248</v>
      </c>
      <c r="R27" s="97">
        <f t="shared" si="13"/>
        <v>0</v>
      </c>
      <c r="S27" s="71">
        <f t="shared" si="14"/>
        <v>0</v>
      </c>
      <c r="T27" s="98">
        <f t="shared" si="2"/>
        <v>0</v>
      </c>
      <c r="U27" s="99">
        <f t="shared" si="3"/>
        <v>0</v>
      </c>
      <c r="V27" s="93" t="str">
        <f t="shared" si="15"/>
        <v>SI</v>
      </c>
      <c r="W27" s="95">
        <f t="shared" si="4"/>
        <v>-1475.182637337816</v>
      </c>
      <c r="X27" s="95">
        <f t="shared" si="5"/>
        <v>0</v>
      </c>
      <c r="Y27" s="95">
        <f t="shared" si="6"/>
        <v>0</v>
      </c>
      <c r="Z27" s="95">
        <f t="shared" si="7"/>
        <v>1475.182637337816</v>
      </c>
      <c r="AA27" s="93" t="str">
        <f t="shared" si="16"/>
        <v/>
      </c>
      <c r="AB27" s="100"/>
      <c r="AC27" s="71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</row>
    <row r="28" spans="1:46" ht="18.75" x14ac:dyDescent="0.25">
      <c r="A28" s="39"/>
      <c r="B28" s="39"/>
      <c r="C28" s="93" t="s">
        <v>107</v>
      </c>
      <c r="D28" s="94">
        <f t="shared" si="8"/>
        <v>6.7500000000000004E-2</v>
      </c>
      <c r="E28" s="94">
        <f t="shared" si="9"/>
        <v>6.3091920731707274E-2</v>
      </c>
      <c r="F28" s="93" t="s">
        <v>107</v>
      </c>
      <c r="G28" s="95">
        <f t="shared" si="0"/>
        <v>-8715.4285714284706</v>
      </c>
      <c r="H28" s="71">
        <v>0</v>
      </c>
      <c r="I28" s="71">
        <v>0</v>
      </c>
      <c r="J28" s="71">
        <v>0</v>
      </c>
      <c r="K28" s="71">
        <v>0</v>
      </c>
      <c r="L28" s="96">
        <f t="shared" si="10"/>
        <v>737591.31866890797</v>
      </c>
      <c r="M28" s="96">
        <v>0</v>
      </c>
      <c r="N28" s="96">
        <f t="shared" si="11"/>
        <v>737591.31866890797</v>
      </c>
      <c r="O28" s="96">
        <f t="shared" si="17"/>
        <v>1475182.6373378159</v>
      </c>
      <c r="P28" s="96">
        <f t="shared" si="1"/>
        <v>0</v>
      </c>
      <c r="Q28" s="97">
        <f t="shared" si="12"/>
        <v>-0.39843267546634248</v>
      </c>
      <c r="R28" s="97">
        <f t="shared" si="13"/>
        <v>0</v>
      </c>
      <c r="S28" s="71">
        <f t="shared" si="14"/>
        <v>0</v>
      </c>
      <c r="T28" s="98">
        <f t="shared" si="2"/>
        <v>0</v>
      </c>
      <c r="U28" s="99">
        <f t="shared" si="3"/>
        <v>0</v>
      </c>
      <c r="V28" s="93" t="str">
        <f t="shared" si="15"/>
        <v>SI</v>
      </c>
      <c r="W28" s="95">
        <f t="shared" si="4"/>
        <v>-1475.182637337816</v>
      </c>
      <c r="X28" s="95">
        <f t="shared" si="5"/>
        <v>0</v>
      </c>
      <c r="Y28" s="95">
        <f t="shared" si="6"/>
        <v>0</v>
      </c>
      <c r="Z28" s="95">
        <f t="shared" si="7"/>
        <v>1475.182637337816</v>
      </c>
      <c r="AA28" s="93" t="str">
        <f t="shared" si="16"/>
        <v/>
      </c>
      <c r="AB28" s="100"/>
      <c r="AC28" s="71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</row>
    <row r="29" spans="1:46" ht="18.75" x14ac:dyDescent="0.25">
      <c r="A29" s="39"/>
      <c r="B29" s="39"/>
      <c r="C29" s="93" t="s">
        <v>107</v>
      </c>
      <c r="D29" s="94">
        <f t="shared" si="8"/>
        <v>6.7500000000000004E-2</v>
      </c>
      <c r="E29" s="94">
        <f t="shared" si="9"/>
        <v>6.2462195121951176E-2</v>
      </c>
      <c r="F29" s="93" t="s">
        <v>107</v>
      </c>
      <c r="G29" s="95">
        <f t="shared" si="0"/>
        <v>-7543.9999999999236</v>
      </c>
      <c r="H29" s="71">
        <v>0</v>
      </c>
      <c r="I29" s="71">
        <v>0</v>
      </c>
      <c r="J29" s="71">
        <v>0</v>
      </c>
      <c r="K29" s="71">
        <v>0</v>
      </c>
      <c r="L29" s="96">
        <f t="shared" si="10"/>
        <v>737591.31866890797</v>
      </c>
      <c r="M29" s="96">
        <v>0</v>
      </c>
      <c r="N29" s="96">
        <f t="shared" si="11"/>
        <v>737591.31866890797</v>
      </c>
      <c r="O29" s="96">
        <f t="shared" si="17"/>
        <v>1475182.6373378159</v>
      </c>
      <c r="P29" s="96">
        <f t="shared" si="1"/>
        <v>0</v>
      </c>
      <c r="Q29" s="97">
        <f t="shared" si="12"/>
        <v>-0.39843267546634248</v>
      </c>
      <c r="R29" s="97">
        <f t="shared" si="13"/>
        <v>0</v>
      </c>
      <c r="S29" s="71">
        <f t="shared" si="14"/>
        <v>0</v>
      </c>
      <c r="T29" s="98">
        <f t="shared" si="2"/>
        <v>0</v>
      </c>
      <c r="U29" s="99">
        <f t="shared" si="3"/>
        <v>0</v>
      </c>
      <c r="V29" s="93" t="str">
        <f t="shared" si="15"/>
        <v>SI</v>
      </c>
      <c r="W29" s="95">
        <f t="shared" si="4"/>
        <v>-1475.182637337816</v>
      </c>
      <c r="X29" s="95">
        <f t="shared" si="5"/>
        <v>0</v>
      </c>
      <c r="Y29" s="95">
        <f t="shared" si="6"/>
        <v>0</v>
      </c>
      <c r="Z29" s="95">
        <f t="shared" si="7"/>
        <v>1475.182637337816</v>
      </c>
      <c r="AA29" s="93" t="str">
        <f t="shared" si="16"/>
        <v/>
      </c>
      <c r="AB29" s="100"/>
      <c r="AC29" s="71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</row>
    <row r="30" spans="1:46" ht="18.75" x14ac:dyDescent="0.25">
      <c r="A30" s="39"/>
      <c r="B30" s="39"/>
      <c r="C30" s="93" t="s">
        <v>107</v>
      </c>
      <c r="D30" s="94">
        <f t="shared" si="8"/>
        <v>6.7500000000000004E-2</v>
      </c>
      <c r="E30" s="94">
        <f t="shared" si="9"/>
        <v>6.1832469512195079E-2</v>
      </c>
      <c r="F30" s="93" t="s">
        <v>107</v>
      </c>
      <c r="G30" s="95">
        <f t="shared" si="0"/>
        <v>-6632.8888888888287</v>
      </c>
      <c r="H30" s="71">
        <v>0</v>
      </c>
      <c r="I30" s="71">
        <v>0</v>
      </c>
      <c r="J30" s="71">
        <v>0</v>
      </c>
      <c r="K30" s="71">
        <v>0</v>
      </c>
      <c r="L30" s="96">
        <f t="shared" si="10"/>
        <v>737591.31866890797</v>
      </c>
      <c r="M30" s="96">
        <v>0</v>
      </c>
      <c r="N30" s="96">
        <f t="shared" si="11"/>
        <v>737591.31866890797</v>
      </c>
      <c r="O30" s="96">
        <f t="shared" si="17"/>
        <v>1475182.6373378159</v>
      </c>
      <c r="P30" s="96">
        <f t="shared" si="1"/>
        <v>0</v>
      </c>
      <c r="Q30" s="97">
        <f t="shared" si="12"/>
        <v>-0.39843267546634248</v>
      </c>
      <c r="R30" s="97">
        <f t="shared" si="13"/>
        <v>0</v>
      </c>
      <c r="S30" s="71">
        <f t="shared" si="14"/>
        <v>0</v>
      </c>
      <c r="T30" s="98">
        <f t="shared" si="2"/>
        <v>0</v>
      </c>
      <c r="U30" s="99">
        <f t="shared" si="3"/>
        <v>0</v>
      </c>
      <c r="V30" s="93" t="str">
        <f t="shared" si="15"/>
        <v>SI</v>
      </c>
      <c r="W30" s="95">
        <f t="shared" si="4"/>
        <v>-1475.182637337816</v>
      </c>
      <c r="X30" s="95">
        <f t="shared" si="5"/>
        <v>0</v>
      </c>
      <c r="Y30" s="95">
        <f t="shared" si="6"/>
        <v>0</v>
      </c>
      <c r="Z30" s="95">
        <f t="shared" si="7"/>
        <v>1475.182637337816</v>
      </c>
      <c r="AA30" s="93" t="str">
        <f t="shared" si="16"/>
        <v/>
      </c>
      <c r="AB30" s="100"/>
      <c r="AC30" s="71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</row>
    <row r="31" spans="1:46" ht="18.75" x14ac:dyDescent="0.25">
      <c r="A31" s="39"/>
      <c r="B31" s="39"/>
      <c r="C31" s="93" t="s">
        <v>107</v>
      </c>
      <c r="D31" s="94">
        <f t="shared" si="8"/>
        <v>6.7500000000000004E-2</v>
      </c>
      <c r="E31" s="94">
        <f t="shared" si="9"/>
        <v>6.1202743902438982E-2</v>
      </c>
      <c r="F31" s="93" t="s">
        <v>107</v>
      </c>
      <c r="G31" s="95">
        <f t="shared" si="0"/>
        <v>-5903.9999999999518</v>
      </c>
      <c r="H31" s="71">
        <v>0</v>
      </c>
      <c r="I31" s="71">
        <v>0</v>
      </c>
      <c r="J31" s="71">
        <v>0</v>
      </c>
      <c r="K31" s="71">
        <v>0</v>
      </c>
      <c r="L31" s="96">
        <f t="shared" si="10"/>
        <v>737591.31866890797</v>
      </c>
      <c r="M31" s="96">
        <v>0</v>
      </c>
      <c r="N31" s="96">
        <f t="shared" si="11"/>
        <v>737591.31866890797</v>
      </c>
      <c r="O31" s="96">
        <f t="shared" si="17"/>
        <v>1475182.6373378159</v>
      </c>
      <c r="P31" s="96">
        <f t="shared" si="1"/>
        <v>0</v>
      </c>
      <c r="Q31" s="97">
        <f t="shared" si="12"/>
        <v>-0.39843267546634248</v>
      </c>
      <c r="R31" s="97">
        <f t="shared" si="13"/>
        <v>0</v>
      </c>
      <c r="S31" s="71">
        <f t="shared" si="14"/>
        <v>0</v>
      </c>
      <c r="T31" s="98">
        <f t="shared" si="2"/>
        <v>0</v>
      </c>
      <c r="U31" s="99">
        <f t="shared" si="3"/>
        <v>0</v>
      </c>
      <c r="V31" s="93" t="str">
        <f t="shared" si="15"/>
        <v>SI</v>
      </c>
      <c r="W31" s="95">
        <f t="shared" si="4"/>
        <v>-1475.182637337816</v>
      </c>
      <c r="X31" s="95">
        <f t="shared" si="5"/>
        <v>0</v>
      </c>
      <c r="Y31" s="95">
        <f t="shared" si="6"/>
        <v>0</v>
      </c>
      <c r="Z31" s="95">
        <f t="shared" si="7"/>
        <v>1475.182637337816</v>
      </c>
      <c r="AA31" s="93" t="str">
        <f t="shared" si="16"/>
        <v/>
      </c>
      <c r="AB31" s="100"/>
      <c r="AC31" s="71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</row>
    <row r="32" spans="1:46" ht="18.75" x14ac:dyDescent="0.25">
      <c r="A32" s="39"/>
      <c r="B32" s="39"/>
      <c r="C32" s="93" t="s">
        <v>107</v>
      </c>
      <c r="D32" s="94">
        <f t="shared" si="8"/>
        <v>6.7500000000000004E-2</v>
      </c>
      <c r="E32" s="94">
        <f t="shared" si="9"/>
        <v>6.0573018292682884E-2</v>
      </c>
      <c r="F32" s="93" t="s">
        <v>107</v>
      </c>
      <c r="G32" s="95">
        <f t="shared" si="0"/>
        <v>-5307.6363636363239</v>
      </c>
      <c r="H32" s="71">
        <v>0</v>
      </c>
      <c r="I32" s="71">
        <v>0</v>
      </c>
      <c r="J32" s="71">
        <v>0</v>
      </c>
      <c r="K32" s="71">
        <v>0</v>
      </c>
      <c r="L32" s="96">
        <f t="shared" si="10"/>
        <v>737591.31866890797</v>
      </c>
      <c r="M32" s="96">
        <v>0</v>
      </c>
      <c r="N32" s="96">
        <f t="shared" si="11"/>
        <v>737591.31866890797</v>
      </c>
      <c r="O32" s="96">
        <f t="shared" si="17"/>
        <v>1475182.6373378159</v>
      </c>
      <c r="P32" s="96">
        <f t="shared" si="1"/>
        <v>0</v>
      </c>
      <c r="Q32" s="97">
        <f t="shared" si="12"/>
        <v>-0.39843267546634248</v>
      </c>
      <c r="R32" s="97">
        <f t="shared" si="13"/>
        <v>0</v>
      </c>
      <c r="S32" s="71">
        <f t="shared" si="14"/>
        <v>0</v>
      </c>
      <c r="T32" s="98">
        <f t="shared" si="2"/>
        <v>0</v>
      </c>
      <c r="U32" s="99">
        <f t="shared" si="3"/>
        <v>0</v>
      </c>
      <c r="V32" s="93" t="str">
        <f t="shared" si="15"/>
        <v>SI</v>
      </c>
      <c r="W32" s="95">
        <f t="shared" si="4"/>
        <v>-1475.182637337816</v>
      </c>
      <c r="X32" s="95">
        <f t="shared" si="5"/>
        <v>0</v>
      </c>
      <c r="Y32" s="95">
        <f t="shared" si="6"/>
        <v>0</v>
      </c>
      <c r="Z32" s="95">
        <f t="shared" si="7"/>
        <v>1475.182637337816</v>
      </c>
      <c r="AA32" s="93" t="str">
        <f t="shared" si="16"/>
        <v/>
      </c>
      <c r="AB32" s="100"/>
      <c r="AC32" s="71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</row>
    <row r="33" spans="1:46" ht="18.75" x14ac:dyDescent="0.25">
      <c r="A33" s="39"/>
      <c r="B33" s="39"/>
      <c r="C33" s="93" t="s">
        <v>107</v>
      </c>
      <c r="D33" s="94">
        <f t="shared" si="8"/>
        <v>6.7500000000000004E-2</v>
      </c>
      <c r="E33" s="94">
        <f t="shared" si="9"/>
        <v>5.9943292682926787E-2</v>
      </c>
      <c r="F33" s="93" t="s">
        <v>107</v>
      </c>
      <c r="G33" s="95">
        <f t="shared" si="0"/>
        <v>-4810.6666666666333</v>
      </c>
      <c r="H33" s="71">
        <v>0</v>
      </c>
      <c r="I33" s="71">
        <v>0</v>
      </c>
      <c r="J33" s="71">
        <v>0</v>
      </c>
      <c r="K33" s="71">
        <v>0</v>
      </c>
      <c r="L33" s="96">
        <f t="shared" si="10"/>
        <v>737591.31866890797</v>
      </c>
      <c r="M33" s="96">
        <v>0</v>
      </c>
      <c r="N33" s="96">
        <f t="shared" si="11"/>
        <v>737591.31866890797</v>
      </c>
      <c r="O33" s="96">
        <f t="shared" si="17"/>
        <v>1475182.6373378159</v>
      </c>
      <c r="P33" s="96">
        <f t="shared" si="1"/>
        <v>0</v>
      </c>
      <c r="Q33" s="97">
        <f t="shared" si="12"/>
        <v>-0.39843267546634248</v>
      </c>
      <c r="R33" s="97">
        <f t="shared" si="13"/>
        <v>0</v>
      </c>
      <c r="S33" s="71">
        <f t="shared" si="14"/>
        <v>0</v>
      </c>
      <c r="T33" s="98">
        <f t="shared" si="2"/>
        <v>0</v>
      </c>
      <c r="U33" s="99">
        <f t="shared" si="3"/>
        <v>0</v>
      </c>
      <c r="V33" s="93" t="str">
        <f t="shared" si="15"/>
        <v>SI</v>
      </c>
      <c r="W33" s="95">
        <f t="shared" si="4"/>
        <v>-1475.182637337816</v>
      </c>
      <c r="X33" s="95">
        <f t="shared" si="5"/>
        <v>0</v>
      </c>
      <c r="Y33" s="95">
        <f t="shared" si="6"/>
        <v>0</v>
      </c>
      <c r="Z33" s="95">
        <f t="shared" si="7"/>
        <v>1475.182637337816</v>
      </c>
      <c r="AA33" s="93" t="str">
        <f t="shared" si="16"/>
        <v/>
      </c>
      <c r="AB33" s="100"/>
      <c r="AC33" s="71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</row>
    <row r="34" spans="1:46" ht="18.75" x14ac:dyDescent="0.25">
      <c r="A34" s="39"/>
      <c r="B34" s="39"/>
      <c r="C34" s="93" t="s">
        <v>107</v>
      </c>
      <c r="D34" s="94">
        <f t="shared" si="8"/>
        <v>6.7500000000000004E-2</v>
      </c>
      <c r="E34" s="94">
        <f t="shared" si="9"/>
        <v>5.9313567073170689E-2</v>
      </c>
      <c r="F34" s="93" t="s">
        <v>107</v>
      </c>
      <c r="G34" s="95">
        <f t="shared" si="0"/>
        <v>-4390.1538461538175</v>
      </c>
      <c r="H34" s="71">
        <v>0</v>
      </c>
      <c r="I34" s="71">
        <v>0</v>
      </c>
      <c r="J34" s="71">
        <v>0</v>
      </c>
      <c r="K34" s="71">
        <v>0</v>
      </c>
      <c r="L34" s="96">
        <f t="shared" si="10"/>
        <v>737591.31866890797</v>
      </c>
      <c r="M34" s="96">
        <v>0</v>
      </c>
      <c r="N34" s="96">
        <f t="shared" si="11"/>
        <v>737591.31866890797</v>
      </c>
      <c r="O34" s="96">
        <f t="shared" si="17"/>
        <v>1475182.6373378159</v>
      </c>
      <c r="P34" s="96">
        <f t="shared" si="1"/>
        <v>0</v>
      </c>
      <c r="Q34" s="97">
        <f t="shared" si="12"/>
        <v>-0.39843267546634248</v>
      </c>
      <c r="R34" s="97">
        <f t="shared" si="13"/>
        <v>0</v>
      </c>
      <c r="S34" s="71">
        <f t="shared" si="14"/>
        <v>0</v>
      </c>
      <c r="T34" s="98">
        <f t="shared" si="2"/>
        <v>0</v>
      </c>
      <c r="U34" s="99">
        <f t="shared" si="3"/>
        <v>0</v>
      </c>
      <c r="V34" s="93" t="str">
        <f t="shared" si="15"/>
        <v>SI</v>
      </c>
      <c r="W34" s="95">
        <f t="shared" si="4"/>
        <v>-1475.182637337816</v>
      </c>
      <c r="X34" s="95">
        <f t="shared" si="5"/>
        <v>0</v>
      </c>
      <c r="Y34" s="95">
        <f t="shared" si="6"/>
        <v>0</v>
      </c>
      <c r="Z34" s="95">
        <f t="shared" si="7"/>
        <v>1475.182637337816</v>
      </c>
      <c r="AA34" s="93" t="str">
        <f t="shared" si="16"/>
        <v/>
      </c>
      <c r="AB34" s="100"/>
      <c r="AC34" s="71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</row>
    <row r="35" spans="1:46" ht="18.75" x14ac:dyDescent="0.25">
      <c r="A35" s="39"/>
      <c r="B35" s="39"/>
      <c r="C35" s="93" t="s">
        <v>107</v>
      </c>
      <c r="D35" s="94">
        <f t="shared" si="8"/>
        <v>6.7500000000000004E-2</v>
      </c>
      <c r="E35" s="94">
        <f t="shared" si="9"/>
        <v>5.8683841463414592E-2</v>
      </c>
      <c r="F35" s="93" t="s">
        <v>107</v>
      </c>
      <c r="G35" s="95">
        <f t="shared" si="0"/>
        <v>-4029.7142857142612</v>
      </c>
      <c r="H35" s="71">
        <v>0</v>
      </c>
      <c r="I35" s="71">
        <v>0</v>
      </c>
      <c r="J35" s="71">
        <v>0</v>
      </c>
      <c r="K35" s="71">
        <v>0</v>
      </c>
      <c r="L35" s="96">
        <f t="shared" si="10"/>
        <v>737591.31866890797</v>
      </c>
      <c r="M35" s="96">
        <v>0</v>
      </c>
      <c r="N35" s="96">
        <f t="shared" si="11"/>
        <v>737591.31866890797</v>
      </c>
      <c r="O35" s="96">
        <f t="shared" si="17"/>
        <v>1475182.6373378159</v>
      </c>
      <c r="P35" s="96">
        <f t="shared" si="1"/>
        <v>0</v>
      </c>
      <c r="Q35" s="97">
        <f t="shared" si="12"/>
        <v>-0.39843267546634248</v>
      </c>
      <c r="R35" s="97">
        <f t="shared" si="13"/>
        <v>0</v>
      </c>
      <c r="S35" s="71">
        <f t="shared" si="14"/>
        <v>0</v>
      </c>
      <c r="T35" s="98">
        <f t="shared" si="2"/>
        <v>0</v>
      </c>
      <c r="U35" s="99">
        <f t="shared" si="3"/>
        <v>0</v>
      </c>
      <c r="V35" s="93" t="str">
        <f t="shared" si="15"/>
        <v>SI</v>
      </c>
      <c r="W35" s="95">
        <f t="shared" si="4"/>
        <v>-1475.182637337816</v>
      </c>
      <c r="X35" s="95">
        <f t="shared" si="5"/>
        <v>0</v>
      </c>
      <c r="Y35" s="95">
        <f t="shared" si="6"/>
        <v>0</v>
      </c>
      <c r="Z35" s="95">
        <f t="shared" si="7"/>
        <v>1475.182637337816</v>
      </c>
      <c r="AA35" s="93" t="str">
        <f t="shared" si="16"/>
        <v/>
      </c>
      <c r="AB35" s="100"/>
      <c r="AC35" s="71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</row>
    <row r="36" spans="1:46" ht="18.75" x14ac:dyDescent="0.25">
      <c r="A36" s="39"/>
      <c r="B36" s="39"/>
      <c r="C36" s="93" t="s">
        <v>107</v>
      </c>
      <c r="D36" s="94">
        <f t="shared" si="8"/>
        <v>6.7500000000000004E-2</v>
      </c>
      <c r="E36" s="94">
        <f t="shared" si="9"/>
        <v>5.8054115853658494E-2</v>
      </c>
      <c r="F36" s="93" t="s">
        <v>107</v>
      </c>
      <c r="G36" s="95">
        <f t="shared" si="0"/>
        <v>-3717.3333333333121</v>
      </c>
      <c r="H36" s="71">
        <v>0</v>
      </c>
      <c r="I36" s="71">
        <v>0</v>
      </c>
      <c r="J36" s="71">
        <v>0</v>
      </c>
      <c r="K36" s="71">
        <v>0</v>
      </c>
      <c r="L36" s="96">
        <f t="shared" si="10"/>
        <v>737591.31866890797</v>
      </c>
      <c r="M36" s="96">
        <v>0</v>
      </c>
      <c r="N36" s="96">
        <f t="shared" si="11"/>
        <v>737591.31866890797</v>
      </c>
      <c r="O36" s="96">
        <f t="shared" si="17"/>
        <v>1475182.6373378159</v>
      </c>
      <c r="P36" s="96">
        <f t="shared" si="1"/>
        <v>0</v>
      </c>
      <c r="Q36" s="97">
        <f t="shared" si="12"/>
        <v>-0.39843267546634248</v>
      </c>
      <c r="R36" s="97">
        <f t="shared" si="13"/>
        <v>0</v>
      </c>
      <c r="S36" s="71">
        <f t="shared" si="14"/>
        <v>0</v>
      </c>
      <c r="T36" s="98">
        <f t="shared" si="2"/>
        <v>0</v>
      </c>
      <c r="U36" s="99">
        <f t="shared" si="3"/>
        <v>0</v>
      </c>
      <c r="V36" s="93" t="str">
        <f t="shared" si="15"/>
        <v>SI</v>
      </c>
      <c r="W36" s="95">
        <f t="shared" si="4"/>
        <v>-1475.182637337816</v>
      </c>
      <c r="X36" s="95">
        <f t="shared" si="5"/>
        <v>0</v>
      </c>
      <c r="Y36" s="95">
        <f t="shared" si="6"/>
        <v>0</v>
      </c>
      <c r="Z36" s="95">
        <f t="shared" si="7"/>
        <v>1475.182637337816</v>
      </c>
      <c r="AA36" s="93" t="str">
        <f t="shared" si="16"/>
        <v/>
      </c>
      <c r="AB36" s="100"/>
      <c r="AC36" s="71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</row>
    <row r="37" spans="1:46" ht="18.75" x14ac:dyDescent="0.25">
      <c r="A37" s="39"/>
      <c r="B37" s="39"/>
      <c r="C37" s="93" t="s">
        <v>107</v>
      </c>
      <c r="D37" s="94">
        <f t="shared" si="8"/>
        <v>6.7500000000000004E-2</v>
      </c>
      <c r="E37" s="94">
        <f t="shared" si="9"/>
        <v>5.7424390243902397E-2</v>
      </c>
      <c r="F37" s="93" t="s">
        <v>107</v>
      </c>
      <c r="G37" s="95">
        <f t="shared" si="0"/>
        <v>-3443.9999999999814</v>
      </c>
      <c r="H37" s="71">
        <v>0</v>
      </c>
      <c r="I37" s="71">
        <v>0</v>
      </c>
      <c r="J37" s="71">
        <v>0</v>
      </c>
      <c r="K37" s="71">
        <v>0</v>
      </c>
      <c r="L37" s="96">
        <f t="shared" si="10"/>
        <v>737591.31866890797</v>
      </c>
      <c r="M37" s="96">
        <v>0</v>
      </c>
      <c r="N37" s="96">
        <f t="shared" si="11"/>
        <v>737591.31866890797</v>
      </c>
      <c r="O37" s="96">
        <f t="shared" si="17"/>
        <v>1475182.6373378159</v>
      </c>
      <c r="P37" s="96">
        <f t="shared" si="1"/>
        <v>0</v>
      </c>
      <c r="Q37" s="97">
        <f t="shared" si="12"/>
        <v>-0.39843267546634248</v>
      </c>
      <c r="R37" s="97">
        <f t="shared" si="13"/>
        <v>0</v>
      </c>
      <c r="S37" s="71">
        <f t="shared" si="14"/>
        <v>0</v>
      </c>
      <c r="T37" s="98">
        <f t="shared" si="2"/>
        <v>0</v>
      </c>
      <c r="U37" s="99">
        <f t="shared" si="3"/>
        <v>0</v>
      </c>
      <c r="V37" s="93" t="str">
        <f t="shared" si="15"/>
        <v>SI</v>
      </c>
      <c r="W37" s="95">
        <f t="shared" si="4"/>
        <v>-1475.182637337816</v>
      </c>
      <c r="X37" s="95">
        <f t="shared" si="5"/>
        <v>0</v>
      </c>
      <c r="Y37" s="95">
        <f t="shared" si="6"/>
        <v>0</v>
      </c>
      <c r="Z37" s="95">
        <f t="shared" si="7"/>
        <v>1475.182637337816</v>
      </c>
      <c r="AA37" s="93" t="str">
        <f t="shared" si="16"/>
        <v/>
      </c>
      <c r="AB37" s="100"/>
      <c r="AC37" s="71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</row>
    <row r="38" spans="1:46" ht="18.75" x14ac:dyDescent="0.25">
      <c r="A38" s="39"/>
      <c r="B38" s="39"/>
      <c r="C38" s="93" t="s">
        <v>107</v>
      </c>
      <c r="D38" s="94">
        <f t="shared" si="8"/>
        <v>6.7500000000000004E-2</v>
      </c>
      <c r="E38" s="94">
        <f t="shared" si="9"/>
        <v>5.67946646341463E-2</v>
      </c>
      <c r="F38" s="93" t="s">
        <v>107</v>
      </c>
      <c r="G38" s="95">
        <f t="shared" si="0"/>
        <v>-3202.8235294117485</v>
      </c>
      <c r="H38" s="71">
        <v>0</v>
      </c>
      <c r="I38" s="71">
        <v>0</v>
      </c>
      <c r="J38" s="71">
        <v>0</v>
      </c>
      <c r="K38" s="71">
        <v>0</v>
      </c>
      <c r="L38" s="96">
        <f t="shared" si="10"/>
        <v>737591.31866890797</v>
      </c>
      <c r="M38" s="96">
        <v>0</v>
      </c>
      <c r="N38" s="96">
        <f t="shared" si="11"/>
        <v>737591.31866890797</v>
      </c>
      <c r="O38" s="96">
        <f t="shared" si="17"/>
        <v>1475182.6373378159</v>
      </c>
      <c r="P38" s="96">
        <f t="shared" si="1"/>
        <v>0</v>
      </c>
      <c r="Q38" s="97">
        <f t="shared" si="12"/>
        <v>-0.39843267546634248</v>
      </c>
      <c r="R38" s="97">
        <f t="shared" si="13"/>
        <v>0</v>
      </c>
      <c r="S38" s="71">
        <f t="shared" si="14"/>
        <v>0</v>
      </c>
      <c r="T38" s="98">
        <f t="shared" si="2"/>
        <v>0</v>
      </c>
      <c r="U38" s="99">
        <f t="shared" si="3"/>
        <v>0</v>
      </c>
      <c r="V38" s="93" t="str">
        <f t="shared" si="15"/>
        <v>SI</v>
      </c>
      <c r="W38" s="95">
        <f t="shared" si="4"/>
        <v>-1475.182637337816</v>
      </c>
      <c r="X38" s="95">
        <f t="shared" si="5"/>
        <v>0</v>
      </c>
      <c r="Y38" s="95">
        <f t="shared" si="6"/>
        <v>0</v>
      </c>
      <c r="Z38" s="95">
        <f t="shared" si="7"/>
        <v>1475.182637337816</v>
      </c>
      <c r="AA38" s="93" t="str">
        <f t="shared" si="16"/>
        <v/>
      </c>
      <c r="AB38" s="100"/>
      <c r="AC38" s="71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</row>
    <row r="39" spans="1:46" ht="18.75" x14ac:dyDescent="0.25">
      <c r="A39" s="39"/>
      <c r="B39" s="39"/>
      <c r="C39" s="93" t="s">
        <v>107</v>
      </c>
      <c r="D39" s="94">
        <f t="shared" si="8"/>
        <v>6.7500000000000004E-2</v>
      </c>
      <c r="E39" s="94">
        <f t="shared" si="9"/>
        <v>5.6164939024390202E-2</v>
      </c>
      <c r="F39" s="93" t="s">
        <v>107</v>
      </c>
      <c r="G39" s="95">
        <f t="shared" si="0"/>
        <v>-2988.4444444444298</v>
      </c>
      <c r="H39" s="71">
        <v>0</v>
      </c>
      <c r="I39" s="71">
        <v>0</v>
      </c>
      <c r="J39" s="71">
        <v>0</v>
      </c>
      <c r="K39" s="71">
        <v>0</v>
      </c>
      <c r="L39" s="96">
        <f t="shared" si="10"/>
        <v>737591.31866890797</v>
      </c>
      <c r="M39" s="96">
        <v>0</v>
      </c>
      <c r="N39" s="96">
        <f t="shared" si="11"/>
        <v>737591.31866890797</v>
      </c>
      <c r="O39" s="96">
        <f t="shared" si="17"/>
        <v>1475182.6373378159</v>
      </c>
      <c r="P39" s="96">
        <f t="shared" si="1"/>
        <v>0</v>
      </c>
      <c r="Q39" s="97">
        <f t="shared" si="12"/>
        <v>-0.39843267546634248</v>
      </c>
      <c r="R39" s="97">
        <f t="shared" si="13"/>
        <v>0</v>
      </c>
      <c r="S39" s="71">
        <f t="shared" si="14"/>
        <v>0</v>
      </c>
      <c r="T39" s="98">
        <f t="shared" si="2"/>
        <v>0</v>
      </c>
      <c r="U39" s="99">
        <f t="shared" si="3"/>
        <v>0</v>
      </c>
      <c r="V39" s="93" t="str">
        <f t="shared" si="15"/>
        <v>SI</v>
      </c>
      <c r="W39" s="95">
        <f t="shared" si="4"/>
        <v>-1475.182637337816</v>
      </c>
      <c r="X39" s="95">
        <f t="shared" si="5"/>
        <v>0</v>
      </c>
      <c r="Y39" s="95">
        <f t="shared" si="6"/>
        <v>0</v>
      </c>
      <c r="Z39" s="95">
        <f t="shared" si="7"/>
        <v>1475.182637337816</v>
      </c>
      <c r="AA39" s="93" t="str">
        <f t="shared" si="16"/>
        <v/>
      </c>
      <c r="AB39" s="100"/>
      <c r="AC39" s="71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</row>
    <row r="40" spans="1:46" ht="18.75" x14ac:dyDescent="0.25">
      <c r="A40" s="39"/>
      <c r="B40" s="39"/>
      <c r="C40" s="93" t="s">
        <v>107</v>
      </c>
      <c r="D40" s="94">
        <f t="shared" si="8"/>
        <v>6.7500000000000004E-2</v>
      </c>
      <c r="E40" s="94">
        <f t="shared" si="9"/>
        <v>5.5535213414634105E-2</v>
      </c>
      <c r="F40" s="93" t="s">
        <v>107</v>
      </c>
      <c r="G40" s="95">
        <f t="shared" si="0"/>
        <v>-2796.6315789473556</v>
      </c>
      <c r="H40" s="71">
        <v>0</v>
      </c>
      <c r="I40" s="71">
        <v>0</v>
      </c>
      <c r="J40" s="71">
        <v>0</v>
      </c>
      <c r="K40" s="71">
        <v>0</v>
      </c>
      <c r="L40" s="96">
        <f t="shared" si="10"/>
        <v>737591.31866890797</v>
      </c>
      <c r="M40" s="96">
        <v>0</v>
      </c>
      <c r="N40" s="96">
        <f t="shared" si="11"/>
        <v>737591.31866890797</v>
      </c>
      <c r="O40" s="96">
        <f t="shared" si="17"/>
        <v>1475182.6373378159</v>
      </c>
      <c r="P40" s="96">
        <f t="shared" si="1"/>
        <v>0</v>
      </c>
      <c r="Q40" s="97">
        <f t="shared" si="12"/>
        <v>-0.39843267546634248</v>
      </c>
      <c r="R40" s="97">
        <f t="shared" si="13"/>
        <v>0</v>
      </c>
      <c r="S40" s="71">
        <f t="shared" si="14"/>
        <v>0</v>
      </c>
      <c r="T40" s="98">
        <f t="shared" si="2"/>
        <v>0</v>
      </c>
      <c r="U40" s="99">
        <f t="shared" si="3"/>
        <v>0</v>
      </c>
      <c r="V40" s="93" t="str">
        <f t="shared" si="15"/>
        <v>SI</v>
      </c>
      <c r="W40" s="95">
        <f t="shared" si="4"/>
        <v>-1475.182637337816</v>
      </c>
      <c r="X40" s="95">
        <f t="shared" si="5"/>
        <v>0</v>
      </c>
      <c r="Y40" s="95">
        <f t="shared" si="6"/>
        <v>0</v>
      </c>
      <c r="Z40" s="95">
        <f t="shared" si="7"/>
        <v>1475.182637337816</v>
      </c>
      <c r="AA40" s="93" t="str">
        <f t="shared" si="16"/>
        <v/>
      </c>
      <c r="AB40" s="100"/>
      <c r="AC40" s="71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</row>
    <row r="41" spans="1:46" ht="18.75" x14ac:dyDescent="0.25">
      <c r="A41" s="39"/>
      <c r="B41" s="39"/>
      <c r="C41" s="93" t="s">
        <v>107</v>
      </c>
      <c r="D41" s="94">
        <f t="shared" si="8"/>
        <v>6.7500000000000004E-2</v>
      </c>
      <c r="E41" s="94">
        <f t="shared" si="9"/>
        <v>5.4905487804878007E-2</v>
      </c>
      <c r="F41" s="93" t="s">
        <v>107</v>
      </c>
      <c r="G41" s="95">
        <f t="shared" si="0"/>
        <v>-2623.9999999999882</v>
      </c>
      <c r="H41" s="71">
        <v>0</v>
      </c>
      <c r="I41" s="71">
        <v>0</v>
      </c>
      <c r="J41" s="71">
        <v>0</v>
      </c>
      <c r="K41" s="71">
        <v>0</v>
      </c>
      <c r="L41" s="96">
        <f t="shared" si="10"/>
        <v>737591.31866890797</v>
      </c>
      <c r="M41" s="96">
        <v>0</v>
      </c>
      <c r="N41" s="96">
        <f t="shared" si="11"/>
        <v>737591.31866890797</v>
      </c>
      <c r="O41" s="96">
        <f t="shared" si="17"/>
        <v>1475182.6373378159</v>
      </c>
      <c r="P41" s="96">
        <f t="shared" si="1"/>
        <v>0</v>
      </c>
      <c r="Q41" s="97">
        <f t="shared" si="12"/>
        <v>-0.39843267546634248</v>
      </c>
      <c r="R41" s="97">
        <f t="shared" si="13"/>
        <v>0</v>
      </c>
      <c r="S41" s="71">
        <f t="shared" si="14"/>
        <v>0</v>
      </c>
      <c r="T41" s="98">
        <f t="shared" si="2"/>
        <v>0</v>
      </c>
      <c r="U41" s="99">
        <f t="shared" si="3"/>
        <v>0</v>
      </c>
      <c r="V41" s="93" t="str">
        <f t="shared" si="15"/>
        <v>SI</v>
      </c>
      <c r="W41" s="95">
        <f t="shared" si="4"/>
        <v>-1475.182637337816</v>
      </c>
      <c r="X41" s="95">
        <f t="shared" si="5"/>
        <v>0</v>
      </c>
      <c r="Y41" s="95">
        <f t="shared" si="6"/>
        <v>0</v>
      </c>
      <c r="Z41" s="95">
        <f t="shared" si="7"/>
        <v>1475.182637337816</v>
      </c>
      <c r="AA41" s="93" t="str">
        <f t="shared" si="16"/>
        <v/>
      </c>
      <c r="AB41" s="100"/>
      <c r="AC41" s="71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</row>
    <row r="42" spans="1:46" ht="18.75" x14ac:dyDescent="0.25">
      <c r="A42" s="39"/>
      <c r="B42" s="39"/>
      <c r="C42" s="93" t="s">
        <v>107</v>
      </c>
      <c r="D42" s="94">
        <f t="shared" si="8"/>
        <v>6.7500000000000004E-2</v>
      </c>
      <c r="E42" s="94">
        <f t="shared" si="9"/>
        <v>5.427576219512191E-2</v>
      </c>
      <c r="F42" s="93" t="s">
        <v>107</v>
      </c>
      <c r="G42" s="95">
        <f t="shared" si="0"/>
        <v>-2467.8095238095134</v>
      </c>
      <c r="H42" s="71">
        <v>0</v>
      </c>
      <c r="I42" s="71">
        <v>0</v>
      </c>
      <c r="J42" s="71">
        <v>0</v>
      </c>
      <c r="K42" s="71">
        <v>0</v>
      </c>
      <c r="L42" s="96">
        <f t="shared" si="10"/>
        <v>737591.31866890797</v>
      </c>
      <c r="M42" s="96">
        <v>0</v>
      </c>
      <c r="N42" s="96">
        <f t="shared" si="11"/>
        <v>737591.31866890797</v>
      </c>
      <c r="O42" s="96">
        <f t="shared" si="17"/>
        <v>1475182.6373378159</v>
      </c>
      <c r="P42" s="96">
        <f t="shared" si="1"/>
        <v>0</v>
      </c>
      <c r="Q42" s="97">
        <f t="shared" si="12"/>
        <v>-0.39843267546634248</v>
      </c>
      <c r="R42" s="97">
        <f t="shared" si="13"/>
        <v>0</v>
      </c>
      <c r="S42" s="71">
        <f t="shared" si="14"/>
        <v>0</v>
      </c>
      <c r="T42" s="98">
        <f t="shared" si="2"/>
        <v>0</v>
      </c>
      <c r="U42" s="99">
        <f t="shared" si="3"/>
        <v>0</v>
      </c>
      <c r="V42" s="93" t="str">
        <f t="shared" si="15"/>
        <v>SI</v>
      </c>
      <c r="W42" s="95">
        <f t="shared" si="4"/>
        <v>-1475.182637337816</v>
      </c>
      <c r="X42" s="95">
        <f t="shared" si="5"/>
        <v>0</v>
      </c>
      <c r="Y42" s="95">
        <f t="shared" si="6"/>
        <v>0</v>
      </c>
      <c r="Z42" s="95">
        <f t="shared" si="7"/>
        <v>1475.182637337816</v>
      </c>
      <c r="AA42" s="93" t="str">
        <f t="shared" si="16"/>
        <v/>
      </c>
      <c r="AB42" s="100"/>
      <c r="AC42" s="71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</row>
    <row r="43" spans="1:46" ht="18.75" x14ac:dyDescent="0.25">
      <c r="A43" s="39"/>
      <c r="B43" s="39"/>
      <c r="C43" s="93" t="s">
        <v>107</v>
      </c>
      <c r="D43" s="94">
        <f t="shared" si="8"/>
        <v>6.7500000000000004E-2</v>
      </c>
      <c r="E43" s="94">
        <f t="shared" si="9"/>
        <v>5.3646036585365812E-2</v>
      </c>
      <c r="F43" s="93" t="s">
        <v>107</v>
      </c>
      <c r="G43" s="95">
        <f t="shared" si="0"/>
        <v>-2325.8181818181724</v>
      </c>
      <c r="H43" s="71">
        <v>0</v>
      </c>
      <c r="I43" s="71">
        <v>0</v>
      </c>
      <c r="J43" s="71">
        <v>0</v>
      </c>
      <c r="K43" s="71">
        <v>0</v>
      </c>
      <c r="L43" s="96">
        <f t="shared" si="10"/>
        <v>737591.31866890797</v>
      </c>
      <c r="M43" s="96">
        <v>0</v>
      </c>
      <c r="N43" s="96">
        <f t="shared" si="11"/>
        <v>737591.31866890797</v>
      </c>
      <c r="O43" s="96">
        <f t="shared" si="17"/>
        <v>1475182.6373378159</v>
      </c>
      <c r="P43" s="96">
        <f t="shared" si="1"/>
        <v>0</v>
      </c>
      <c r="Q43" s="97">
        <f t="shared" si="12"/>
        <v>-0.39843267546634248</v>
      </c>
      <c r="R43" s="97">
        <f t="shared" si="13"/>
        <v>0</v>
      </c>
      <c r="S43" s="71">
        <f t="shared" si="14"/>
        <v>0</v>
      </c>
      <c r="T43" s="98">
        <f t="shared" si="2"/>
        <v>0</v>
      </c>
      <c r="U43" s="99">
        <f t="shared" si="3"/>
        <v>0</v>
      </c>
      <c r="V43" s="93" t="str">
        <f t="shared" si="15"/>
        <v>SI</v>
      </c>
      <c r="W43" s="95">
        <f t="shared" si="4"/>
        <v>-1475.182637337816</v>
      </c>
      <c r="X43" s="95">
        <f t="shared" si="5"/>
        <v>0</v>
      </c>
      <c r="Y43" s="95">
        <f t="shared" si="6"/>
        <v>0</v>
      </c>
      <c r="Z43" s="95">
        <f t="shared" si="7"/>
        <v>1475.182637337816</v>
      </c>
      <c r="AA43" s="93" t="str">
        <f t="shared" si="16"/>
        <v/>
      </c>
      <c r="AB43" s="100"/>
      <c r="AC43" s="71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</row>
    <row r="44" spans="1:46" ht="18.75" x14ac:dyDescent="0.25">
      <c r="A44" s="39"/>
      <c r="B44" s="39"/>
      <c r="C44" s="93" t="s">
        <v>107</v>
      </c>
      <c r="D44" s="94">
        <f t="shared" si="8"/>
        <v>6.7500000000000004E-2</v>
      </c>
      <c r="E44" s="94">
        <f t="shared" si="9"/>
        <v>5.3016310975609715E-2</v>
      </c>
      <c r="F44" s="93" t="s">
        <v>107</v>
      </c>
      <c r="G44" s="95">
        <f t="shared" si="0"/>
        <v>-2196.1739130434694</v>
      </c>
      <c r="H44" s="71">
        <v>0</v>
      </c>
      <c r="I44" s="71">
        <v>0</v>
      </c>
      <c r="J44" s="71">
        <v>0</v>
      </c>
      <c r="K44" s="71">
        <v>0</v>
      </c>
      <c r="L44" s="96">
        <f t="shared" si="10"/>
        <v>737591.31866890797</v>
      </c>
      <c r="M44" s="96">
        <v>0</v>
      </c>
      <c r="N44" s="96">
        <f t="shared" si="11"/>
        <v>737591.31866890797</v>
      </c>
      <c r="O44" s="96">
        <f t="shared" si="17"/>
        <v>1475182.6373378159</v>
      </c>
      <c r="P44" s="96">
        <f t="shared" si="1"/>
        <v>0</v>
      </c>
      <c r="Q44" s="97">
        <f t="shared" si="12"/>
        <v>-0.39843267546634248</v>
      </c>
      <c r="R44" s="97">
        <f t="shared" si="13"/>
        <v>0</v>
      </c>
      <c r="S44" s="71">
        <f t="shared" si="14"/>
        <v>0</v>
      </c>
      <c r="T44" s="98">
        <f t="shared" si="2"/>
        <v>0</v>
      </c>
      <c r="U44" s="99">
        <f t="shared" si="3"/>
        <v>0</v>
      </c>
      <c r="V44" s="93" t="str">
        <f t="shared" si="15"/>
        <v>SI</v>
      </c>
      <c r="W44" s="95">
        <f t="shared" si="4"/>
        <v>-1475.182637337816</v>
      </c>
      <c r="X44" s="95">
        <f t="shared" si="5"/>
        <v>0</v>
      </c>
      <c r="Y44" s="95">
        <f t="shared" si="6"/>
        <v>0</v>
      </c>
      <c r="Z44" s="95">
        <f t="shared" si="7"/>
        <v>1475.182637337816</v>
      </c>
      <c r="AA44" s="93" t="str">
        <f t="shared" si="16"/>
        <v/>
      </c>
      <c r="AB44" s="100"/>
      <c r="AC44" s="71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</row>
    <row r="45" spans="1:46" ht="18.75" x14ac:dyDescent="0.25">
      <c r="A45" s="39"/>
      <c r="B45" s="39"/>
      <c r="C45" s="93" t="s">
        <v>107</v>
      </c>
      <c r="D45" s="94">
        <f t="shared" si="8"/>
        <v>6.7500000000000004E-2</v>
      </c>
      <c r="E45" s="94">
        <f t="shared" si="9"/>
        <v>5.2386585365853618E-2</v>
      </c>
      <c r="F45" s="93" t="s">
        <v>107</v>
      </c>
      <c r="G45" s="95">
        <f t="shared" si="0"/>
        <v>-2077.3333333333253</v>
      </c>
      <c r="H45" s="71">
        <v>0</v>
      </c>
      <c r="I45" s="71">
        <v>0</v>
      </c>
      <c r="J45" s="71">
        <v>0</v>
      </c>
      <c r="K45" s="71">
        <v>0</v>
      </c>
      <c r="L45" s="96">
        <f t="shared" si="10"/>
        <v>737591.31866890797</v>
      </c>
      <c r="M45" s="96">
        <v>0</v>
      </c>
      <c r="N45" s="96">
        <f t="shared" si="11"/>
        <v>737591.31866890797</v>
      </c>
      <c r="O45" s="96">
        <f t="shared" si="17"/>
        <v>1475182.6373378159</v>
      </c>
      <c r="P45" s="96">
        <f t="shared" si="1"/>
        <v>0</v>
      </c>
      <c r="Q45" s="97">
        <f t="shared" si="12"/>
        <v>-0.39843267546634248</v>
      </c>
      <c r="R45" s="97">
        <f t="shared" si="13"/>
        <v>0</v>
      </c>
      <c r="S45" s="71">
        <f t="shared" si="14"/>
        <v>0</v>
      </c>
      <c r="T45" s="98">
        <f t="shared" si="2"/>
        <v>0</v>
      </c>
      <c r="U45" s="99">
        <f t="shared" si="3"/>
        <v>0</v>
      </c>
      <c r="V45" s="93" t="str">
        <f t="shared" si="15"/>
        <v>SI</v>
      </c>
      <c r="W45" s="95">
        <f t="shared" si="4"/>
        <v>-1475.182637337816</v>
      </c>
      <c r="X45" s="95">
        <f t="shared" si="5"/>
        <v>0</v>
      </c>
      <c r="Y45" s="95">
        <f t="shared" si="6"/>
        <v>0</v>
      </c>
      <c r="Z45" s="95">
        <f t="shared" si="7"/>
        <v>1475.182637337816</v>
      </c>
      <c r="AA45" s="93" t="str">
        <f t="shared" si="16"/>
        <v/>
      </c>
      <c r="AB45" s="100"/>
      <c r="AC45" s="71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</row>
    <row r="46" spans="1:46" ht="18.75" x14ac:dyDescent="0.25">
      <c r="A46" s="39"/>
      <c r="B46" s="39"/>
      <c r="C46" s="93" t="s">
        <v>107</v>
      </c>
      <c r="D46" s="94">
        <f t="shared" si="8"/>
        <v>6.7500000000000004E-2</v>
      </c>
      <c r="E46" s="94">
        <f t="shared" si="9"/>
        <v>5.175685975609752E-2</v>
      </c>
      <c r="F46" s="93" t="s">
        <v>107</v>
      </c>
      <c r="G46" s="95">
        <f t="shared" si="0"/>
        <v>-1967.9999999999927</v>
      </c>
      <c r="H46" s="71">
        <v>0</v>
      </c>
      <c r="I46" s="71">
        <v>0</v>
      </c>
      <c r="J46" s="71">
        <v>0</v>
      </c>
      <c r="K46" s="71">
        <v>0</v>
      </c>
      <c r="L46" s="96">
        <f t="shared" si="10"/>
        <v>737591.31866890797</v>
      </c>
      <c r="M46" s="96">
        <v>0</v>
      </c>
      <c r="N46" s="96">
        <f t="shared" si="11"/>
        <v>737591.31866890797</v>
      </c>
      <c r="O46" s="96">
        <f t="shared" si="17"/>
        <v>1475182.6373378159</v>
      </c>
      <c r="P46" s="96">
        <f t="shared" si="1"/>
        <v>0</v>
      </c>
      <c r="Q46" s="97">
        <f t="shared" si="12"/>
        <v>-0.39843267546634248</v>
      </c>
      <c r="R46" s="97">
        <f t="shared" si="13"/>
        <v>0</v>
      </c>
      <c r="S46" s="71">
        <f t="shared" si="14"/>
        <v>0</v>
      </c>
      <c r="T46" s="98">
        <f t="shared" si="2"/>
        <v>0</v>
      </c>
      <c r="U46" s="99">
        <f t="shared" si="3"/>
        <v>0</v>
      </c>
      <c r="V46" s="93" t="str">
        <f t="shared" si="15"/>
        <v>SI</v>
      </c>
      <c r="W46" s="95">
        <f t="shared" si="4"/>
        <v>-1475.182637337816</v>
      </c>
      <c r="X46" s="95">
        <f t="shared" si="5"/>
        <v>0</v>
      </c>
      <c r="Y46" s="95">
        <f t="shared" si="6"/>
        <v>0</v>
      </c>
      <c r="Z46" s="95">
        <f t="shared" si="7"/>
        <v>1475.182637337816</v>
      </c>
      <c r="AA46" s="93" t="str">
        <f t="shared" si="16"/>
        <v/>
      </c>
      <c r="AB46" s="100"/>
      <c r="AC46" s="71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  <row r="47" spans="1:46" ht="18.75" x14ac:dyDescent="0.25">
      <c r="A47" s="39"/>
      <c r="B47" s="39"/>
      <c r="C47" s="93" t="s">
        <v>107</v>
      </c>
      <c r="D47" s="94">
        <f t="shared" si="8"/>
        <v>6.7500000000000004E-2</v>
      </c>
      <c r="E47" s="94">
        <f t="shared" si="9"/>
        <v>5.1127134146341423E-2</v>
      </c>
      <c r="F47" s="93" t="s">
        <v>107</v>
      </c>
      <c r="G47" s="95">
        <f t="shared" si="0"/>
        <v>-1867.0769230769163</v>
      </c>
      <c r="H47" s="71">
        <v>0</v>
      </c>
      <c r="I47" s="71">
        <v>0</v>
      </c>
      <c r="J47" s="71">
        <v>0</v>
      </c>
      <c r="K47" s="71">
        <v>0</v>
      </c>
      <c r="L47" s="96">
        <f t="shared" si="10"/>
        <v>737591.31866890797</v>
      </c>
      <c r="M47" s="96">
        <v>0</v>
      </c>
      <c r="N47" s="96">
        <f t="shared" si="11"/>
        <v>737591.31866890797</v>
      </c>
      <c r="O47" s="96">
        <f t="shared" si="17"/>
        <v>1475182.6373378159</v>
      </c>
      <c r="P47" s="96">
        <f t="shared" si="1"/>
        <v>0</v>
      </c>
      <c r="Q47" s="97">
        <f t="shared" si="12"/>
        <v>-0.39843267546634248</v>
      </c>
      <c r="R47" s="97">
        <f t="shared" si="13"/>
        <v>0</v>
      </c>
      <c r="S47" s="71">
        <f t="shared" si="14"/>
        <v>0</v>
      </c>
      <c r="T47" s="98">
        <f t="shared" si="2"/>
        <v>0</v>
      </c>
      <c r="U47" s="99">
        <f t="shared" si="3"/>
        <v>0</v>
      </c>
      <c r="V47" s="93" t="str">
        <f t="shared" si="15"/>
        <v>SI</v>
      </c>
      <c r="W47" s="95">
        <f t="shared" si="4"/>
        <v>-1475.182637337816</v>
      </c>
      <c r="X47" s="95">
        <f t="shared" si="5"/>
        <v>0</v>
      </c>
      <c r="Y47" s="95">
        <f t="shared" si="6"/>
        <v>0</v>
      </c>
      <c r="Z47" s="95">
        <f t="shared" si="7"/>
        <v>1475.182637337816</v>
      </c>
      <c r="AA47" s="93" t="str">
        <f t="shared" si="16"/>
        <v/>
      </c>
      <c r="AB47" s="100"/>
      <c r="AC47" s="71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</row>
    <row r="48" spans="1:46" ht="18.75" x14ac:dyDescent="0.25">
      <c r="A48" s="39"/>
      <c r="B48" s="39"/>
      <c r="C48" s="93" t="s">
        <v>107</v>
      </c>
      <c r="D48" s="94">
        <f t="shared" si="8"/>
        <v>6.7500000000000004E-2</v>
      </c>
      <c r="E48" s="94">
        <f t="shared" si="9"/>
        <v>5.0497408536585325E-2</v>
      </c>
      <c r="F48" s="93" t="s">
        <v>107</v>
      </c>
      <c r="G48" s="95">
        <f t="shared" si="0"/>
        <v>-1773.6296296296234</v>
      </c>
      <c r="H48" s="71">
        <v>0</v>
      </c>
      <c r="I48" s="71">
        <v>0</v>
      </c>
      <c r="J48" s="71">
        <v>0</v>
      </c>
      <c r="K48" s="71">
        <v>0</v>
      </c>
      <c r="L48" s="96">
        <f t="shared" si="10"/>
        <v>737591.31866890797</v>
      </c>
      <c r="M48" s="96">
        <v>0</v>
      </c>
      <c r="N48" s="96">
        <f t="shared" si="11"/>
        <v>737591.31866890797</v>
      </c>
      <c r="O48" s="96">
        <f t="shared" si="17"/>
        <v>1475182.6373378159</v>
      </c>
      <c r="P48" s="96">
        <f t="shared" si="1"/>
        <v>0</v>
      </c>
      <c r="Q48" s="97">
        <f t="shared" si="12"/>
        <v>-0.39843267546634248</v>
      </c>
      <c r="R48" s="97">
        <f t="shared" si="13"/>
        <v>0</v>
      </c>
      <c r="S48" s="71">
        <f t="shared" si="14"/>
        <v>0</v>
      </c>
      <c r="T48" s="98">
        <f t="shared" si="2"/>
        <v>0</v>
      </c>
      <c r="U48" s="99">
        <f t="shared" si="3"/>
        <v>0</v>
      </c>
      <c r="V48" s="93" t="str">
        <f t="shared" si="15"/>
        <v>SI</v>
      </c>
      <c r="W48" s="95">
        <f t="shared" si="4"/>
        <v>-1475.182637337816</v>
      </c>
      <c r="X48" s="95">
        <f t="shared" si="5"/>
        <v>0</v>
      </c>
      <c r="Y48" s="95">
        <f t="shared" si="6"/>
        <v>0</v>
      </c>
      <c r="Z48" s="95">
        <f t="shared" si="7"/>
        <v>1475.182637337816</v>
      </c>
      <c r="AA48" s="93" t="str">
        <f t="shared" si="16"/>
        <v/>
      </c>
      <c r="AB48" s="100"/>
      <c r="AC48" s="71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</row>
    <row r="49" spans="1:46" ht="18.75" x14ac:dyDescent="0.25">
      <c r="A49" s="39"/>
      <c r="B49" s="39"/>
      <c r="C49" s="93" t="s">
        <v>107</v>
      </c>
      <c r="D49" s="94">
        <f t="shared" si="8"/>
        <v>6.7500000000000004E-2</v>
      </c>
      <c r="E49" s="94">
        <f t="shared" si="9"/>
        <v>4.9867682926829228E-2</v>
      </c>
      <c r="F49" s="93" t="s">
        <v>107</v>
      </c>
      <c r="G49" s="95">
        <f t="shared" si="0"/>
        <v>-1686.857142857137</v>
      </c>
      <c r="H49" s="71">
        <v>0</v>
      </c>
      <c r="I49" s="71">
        <v>0</v>
      </c>
      <c r="J49" s="71">
        <v>0</v>
      </c>
      <c r="K49" s="71">
        <v>0</v>
      </c>
      <c r="L49" s="96">
        <f t="shared" si="10"/>
        <v>737591.31866890797</v>
      </c>
      <c r="M49" s="96">
        <v>0</v>
      </c>
      <c r="N49" s="96">
        <f t="shared" si="11"/>
        <v>737591.31866890797</v>
      </c>
      <c r="O49" s="96">
        <f t="shared" si="17"/>
        <v>1475182.6373378159</v>
      </c>
      <c r="P49" s="96">
        <f t="shared" si="1"/>
        <v>0</v>
      </c>
      <c r="Q49" s="97">
        <f t="shared" si="12"/>
        <v>-0.39843267546634248</v>
      </c>
      <c r="R49" s="97">
        <f t="shared" si="13"/>
        <v>0</v>
      </c>
      <c r="S49" s="71">
        <f t="shared" si="14"/>
        <v>0</v>
      </c>
      <c r="T49" s="98">
        <f t="shared" si="2"/>
        <v>0</v>
      </c>
      <c r="U49" s="99">
        <f t="shared" si="3"/>
        <v>0</v>
      </c>
      <c r="V49" s="93" t="str">
        <f t="shared" si="15"/>
        <v>SI</v>
      </c>
      <c r="W49" s="95">
        <f t="shared" si="4"/>
        <v>-1475.182637337816</v>
      </c>
      <c r="X49" s="95">
        <f t="shared" si="5"/>
        <v>0</v>
      </c>
      <c r="Y49" s="95">
        <f t="shared" si="6"/>
        <v>0</v>
      </c>
      <c r="Z49" s="95">
        <f t="shared" si="7"/>
        <v>1475.182637337816</v>
      </c>
      <c r="AA49" s="93" t="str">
        <f t="shared" si="16"/>
        <v/>
      </c>
      <c r="AB49" s="100"/>
      <c r="AC49" s="71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</row>
    <row r="50" spans="1:46" ht="18.75" x14ac:dyDescent="0.25">
      <c r="A50" s="39"/>
      <c r="B50" s="39"/>
      <c r="C50" s="93" t="s">
        <v>107</v>
      </c>
      <c r="D50" s="94">
        <f t="shared" si="8"/>
        <v>6.7500000000000004E-2</v>
      </c>
      <c r="E50" s="94">
        <f t="shared" si="9"/>
        <v>4.9237957317073131E-2</v>
      </c>
      <c r="F50" s="93" t="s">
        <v>107</v>
      </c>
      <c r="G50" s="95">
        <f t="shared" si="0"/>
        <v>-1606.0689655172359</v>
      </c>
      <c r="H50" s="71">
        <v>0</v>
      </c>
      <c r="I50" s="71">
        <v>0</v>
      </c>
      <c r="J50" s="71">
        <v>0</v>
      </c>
      <c r="K50" s="71">
        <v>0</v>
      </c>
      <c r="L50" s="96">
        <f t="shared" si="10"/>
        <v>737591.31866890797</v>
      </c>
      <c r="M50" s="96">
        <v>0</v>
      </c>
      <c r="N50" s="96">
        <f t="shared" si="11"/>
        <v>737591.31866890797</v>
      </c>
      <c r="O50" s="96">
        <f t="shared" si="17"/>
        <v>1475182.6373378159</v>
      </c>
      <c r="P50" s="96">
        <f t="shared" si="1"/>
        <v>0</v>
      </c>
      <c r="Q50" s="97">
        <f t="shared" si="12"/>
        <v>-0.39843267546634248</v>
      </c>
      <c r="R50" s="97">
        <f t="shared" si="13"/>
        <v>0</v>
      </c>
      <c r="S50" s="71">
        <f t="shared" si="14"/>
        <v>0</v>
      </c>
      <c r="T50" s="98">
        <f t="shared" si="2"/>
        <v>0</v>
      </c>
      <c r="U50" s="99">
        <f t="shared" si="3"/>
        <v>0</v>
      </c>
      <c r="V50" s="93" t="str">
        <f t="shared" si="15"/>
        <v>SI</v>
      </c>
      <c r="W50" s="95">
        <f t="shared" si="4"/>
        <v>-1475.182637337816</v>
      </c>
      <c r="X50" s="95">
        <f t="shared" si="5"/>
        <v>0</v>
      </c>
      <c r="Y50" s="95">
        <f t="shared" si="6"/>
        <v>0</v>
      </c>
      <c r="Z50" s="95">
        <f t="shared" si="7"/>
        <v>1475.182637337816</v>
      </c>
      <c r="AA50" s="93" t="str">
        <f t="shared" si="16"/>
        <v/>
      </c>
      <c r="AB50" s="100"/>
      <c r="AC50" s="71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</row>
    <row r="51" spans="1:46" ht="18.75" x14ac:dyDescent="0.25">
      <c r="A51" s="39"/>
      <c r="B51" s="39"/>
      <c r="C51" s="93" t="s">
        <v>107</v>
      </c>
      <c r="D51" s="94">
        <f t="shared" si="8"/>
        <v>6.7500000000000004E-2</v>
      </c>
      <c r="E51" s="94">
        <f t="shared" si="9"/>
        <v>4.8608231707317033E-2</v>
      </c>
      <c r="F51" s="93" t="s">
        <v>107</v>
      </c>
      <c r="G51" s="95">
        <f t="shared" si="0"/>
        <v>-1530.6666666666617</v>
      </c>
      <c r="H51" s="71">
        <v>0</v>
      </c>
      <c r="I51" s="71">
        <v>0</v>
      </c>
      <c r="J51" s="71">
        <v>0</v>
      </c>
      <c r="K51" s="71">
        <v>0</v>
      </c>
      <c r="L51" s="96">
        <f t="shared" si="10"/>
        <v>737591.31866890797</v>
      </c>
      <c r="M51" s="96">
        <v>0</v>
      </c>
      <c r="N51" s="96">
        <f t="shared" si="11"/>
        <v>737591.31866890797</v>
      </c>
      <c r="O51" s="96">
        <f t="shared" si="17"/>
        <v>1475182.6373378159</v>
      </c>
      <c r="P51" s="96">
        <f t="shared" si="1"/>
        <v>0</v>
      </c>
      <c r="Q51" s="97">
        <f t="shared" si="12"/>
        <v>-0.39843267546634248</v>
      </c>
      <c r="R51" s="97">
        <f t="shared" si="13"/>
        <v>0</v>
      </c>
      <c r="S51" s="71">
        <f t="shared" si="14"/>
        <v>0</v>
      </c>
      <c r="T51" s="98">
        <f t="shared" si="2"/>
        <v>0</v>
      </c>
      <c r="U51" s="99">
        <f t="shared" si="3"/>
        <v>0</v>
      </c>
      <c r="V51" s="93" t="str">
        <f t="shared" si="15"/>
        <v>SI</v>
      </c>
      <c r="W51" s="95">
        <f t="shared" si="4"/>
        <v>-1475.182637337816</v>
      </c>
      <c r="X51" s="95">
        <f t="shared" si="5"/>
        <v>0</v>
      </c>
      <c r="Y51" s="95">
        <f t="shared" si="6"/>
        <v>0</v>
      </c>
      <c r="Z51" s="95">
        <f t="shared" si="7"/>
        <v>1475.182637337816</v>
      </c>
      <c r="AA51" s="93" t="str">
        <f t="shared" si="16"/>
        <v/>
      </c>
      <c r="AB51" s="100"/>
      <c r="AC51" s="71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</row>
    <row r="52" spans="1:46" ht="18.75" x14ac:dyDescent="0.25">
      <c r="A52" s="39"/>
      <c r="B52" s="39"/>
      <c r="C52" s="93" t="s">
        <v>107</v>
      </c>
      <c r="D52" s="94">
        <f t="shared" si="8"/>
        <v>6.7500000000000004E-2</v>
      </c>
      <c r="E52" s="94">
        <f t="shared" si="9"/>
        <v>4.7978506097560936E-2</v>
      </c>
      <c r="F52" s="93" t="s">
        <v>107</v>
      </c>
      <c r="G52" s="95">
        <f t="shared" si="0"/>
        <v>-1460.1290322580599</v>
      </c>
      <c r="H52" s="71">
        <v>0</v>
      </c>
      <c r="I52" s="71">
        <v>0</v>
      </c>
      <c r="J52" s="71">
        <v>0</v>
      </c>
      <c r="K52" s="71">
        <v>0</v>
      </c>
      <c r="L52" s="96">
        <f t="shared" si="10"/>
        <v>737591.31866890797</v>
      </c>
      <c r="M52" s="96">
        <v>0</v>
      </c>
      <c r="N52" s="96">
        <f t="shared" si="11"/>
        <v>737591.31866890797</v>
      </c>
      <c r="O52" s="96">
        <f t="shared" si="17"/>
        <v>1475182.6373378159</v>
      </c>
      <c r="P52" s="96">
        <f t="shared" si="1"/>
        <v>0</v>
      </c>
      <c r="Q52" s="97">
        <f t="shared" si="12"/>
        <v>-0.39843267546634248</v>
      </c>
      <c r="R52" s="97">
        <f t="shared" si="13"/>
        <v>0</v>
      </c>
      <c r="S52" s="71">
        <f t="shared" si="14"/>
        <v>0</v>
      </c>
      <c r="T52" s="98">
        <f t="shared" si="2"/>
        <v>0</v>
      </c>
      <c r="U52" s="99">
        <f t="shared" si="3"/>
        <v>0</v>
      </c>
      <c r="V52" s="93" t="str">
        <f t="shared" si="15"/>
        <v>SI</v>
      </c>
      <c r="W52" s="95">
        <f t="shared" si="4"/>
        <v>-1475.182637337816</v>
      </c>
      <c r="X52" s="95">
        <f t="shared" si="5"/>
        <v>0</v>
      </c>
      <c r="Y52" s="95">
        <f t="shared" si="6"/>
        <v>0</v>
      </c>
      <c r="Z52" s="95">
        <f t="shared" si="7"/>
        <v>1475.182637337816</v>
      </c>
      <c r="AA52" s="93" t="str">
        <f t="shared" si="16"/>
        <v/>
      </c>
      <c r="AB52" s="100"/>
      <c r="AC52" s="71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</row>
    <row r="53" spans="1:46" ht="18.75" x14ac:dyDescent="0.25">
      <c r="A53" s="39"/>
      <c r="B53" s="39"/>
      <c r="C53" s="93" t="s">
        <v>107</v>
      </c>
      <c r="D53" s="94">
        <f t="shared" si="8"/>
        <v>6.7500000000000004E-2</v>
      </c>
      <c r="E53" s="94">
        <f t="shared" si="9"/>
        <v>4.7348780487804838E-2</v>
      </c>
      <c r="F53" s="93" t="s">
        <v>107</v>
      </c>
      <c r="G53" s="95">
        <f t="shared" si="0"/>
        <v>-1393.9999999999957</v>
      </c>
      <c r="H53" s="71">
        <v>0</v>
      </c>
      <c r="I53" s="71">
        <v>0</v>
      </c>
      <c r="J53" s="71">
        <v>0</v>
      </c>
      <c r="K53" s="71">
        <v>0</v>
      </c>
      <c r="L53" s="96">
        <f t="shared" si="10"/>
        <v>737591.31866890797</v>
      </c>
      <c r="M53" s="96">
        <v>0</v>
      </c>
      <c r="N53" s="96">
        <f t="shared" si="11"/>
        <v>737591.31866890797</v>
      </c>
      <c r="O53" s="96">
        <f t="shared" si="17"/>
        <v>1475182.6373378159</v>
      </c>
      <c r="P53" s="96">
        <f t="shared" si="1"/>
        <v>0</v>
      </c>
      <c r="Q53" s="97">
        <f t="shared" si="12"/>
        <v>-0.39843267546634248</v>
      </c>
      <c r="R53" s="97">
        <f t="shared" si="13"/>
        <v>0</v>
      </c>
      <c r="S53" s="71">
        <f t="shared" si="14"/>
        <v>0</v>
      </c>
      <c r="T53" s="98">
        <f t="shared" si="2"/>
        <v>0</v>
      </c>
      <c r="U53" s="99">
        <f t="shared" si="3"/>
        <v>0</v>
      </c>
      <c r="V53" s="93" t="str">
        <f t="shared" si="15"/>
        <v>SI</v>
      </c>
      <c r="W53" s="95">
        <f t="shared" si="4"/>
        <v>-1475.182637337816</v>
      </c>
      <c r="X53" s="95">
        <f t="shared" si="5"/>
        <v>0</v>
      </c>
      <c r="Y53" s="95">
        <f t="shared" si="6"/>
        <v>0</v>
      </c>
      <c r="Z53" s="95">
        <f t="shared" si="7"/>
        <v>1475.182637337816</v>
      </c>
      <c r="AA53" s="93" t="str">
        <f t="shared" si="16"/>
        <v/>
      </c>
      <c r="AB53" s="100"/>
      <c r="AC53" s="71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</row>
    <row r="54" spans="1:46" ht="18.75" x14ac:dyDescent="0.25">
      <c r="A54" s="39"/>
      <c r="B54" s="39"/>
      <c r="C54" s="93" t="s">
        <v>107</v>
      </c>
      <c r="D54" s="94">
        <f t="shared" si="8"/>
        <v>6.7500000000000004E-2</v>
      </c>
      <c r="E54" s="94">
        <f t="shared" si="9"/>
        <v>4.6719054878048741E-2</v>
      </c>
      <c r="F54" s="93" t="s">
        <v>107</v>
      </c>
      <c r="G54" s="95">
        <f t="shared" si="0"/>
        <v>-1331.8787878787839</v>
      </c>
      <c r="H54" s="71">
        <v>0</v>
      </c>
      <c r="I54" s="71">
        <v>0</v>
      </c>
      <c r="J54" s="71">
        <v>0</v>
      </c>
      <c r="K54" s="71">
        <v>0</v>
      </c>
      <c r="L54" s="96">
        <f t="shared" si="10"/>
        <v>737591.31866890797</v>
      </c>
      <c r="M54" s="96">
        <v>0</v>
      </c>
      <c r="N54" s="96">
        <f t="shared" si="11"/>
        <v>737591.31866890797</v>
      </c>
      <c r="O54" s="96">
        <f t="shared" si="17"/>
        <v>1475182.6373378159</v>
      </c>
      <c r="P54" s="96">
        <f t="shared" si="1"/>
        <v>0</v>
      </c>
      <c r="Q54" s="97">
        <f t="shared" si="12"/>
        <v>-0.39843267546634248</v>
      </c>
      <c r="R54" s="97">
        <f t="shared" si="13"/>
        <v>0</v>
      </c>
      <c r="S54" s="71">
        <f t="shared" si="14"/>
        <v>0</v>
      </c>
      <c r="T54" s="98">
        <f t="shared" si="2"/>
        <v>0</v>
      </c>
      <c r="U54" s="99">
        <f t="shared" si="3"/>
        <v>0</v>
      </c>
      <c r="V54" s="93" t="str">
        <f t="shared" si="15"/>
        <v>SI</v>
      </c>
      <c r="W54" s="95">
        <f t="shared" si="4"/>
        <v>-1475.182637337816</v>
      </c>
      <c r="X54" s="95">
        <f t="shared" si="5"/>
        <v>0</v>
      </c>
      <c r="Y54" s="95">
        <f t="shared" si="6"/>
        <v>0</v>
      </c>
      <c r="Z54" s="95">
        <f t="shared" si="7"/>
        <v>1475.182637337816</v>
      </c>
      <c r="AA54" s="93" t="str">
        <f t="shared" si="16"/>
        <v/>
      </c>
      <c r="AB54" s="100"/>
      <c r="AC54" s="71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</row>
    <row r="55" spans="1:46" ht="18.75" x14ac:dyDescent="0.25">
      <c r="A55" s="39"/>
      <c r="B55" s="39"/>
      <c r="C55" s="93" t="s">
        <v>107</v>
      </c>
      <c r="D55" s="94">
        <f t="shared" si="8"/>
        <v>6.7500000000000004E-2</v>
      </c>
      <c r="E55" s="94">
        <f t="shared" si="9"/>
        <v>4.6089329268292643E-2</v>
      </c>
      <c r="F55" s="93" t="s">
        <v>107</v>
      </c>
      <c r="G55" s="95">
        <f t="shared" si="0"/>
        <v>-1273.4117647058786</v>
      </c>
      <c r="H55" s="71">
        <v>0</v>
      </c>
      <c r="I55" s="71">
        <v>0</v>
      </c>
      <c r="J55" s="71">
        <v>0</v>
      </c>
      <c r="K55" s="71">
        <v>0</v>
      </c>
      <c r="L55" s="96">
        <f t="shared" si="10"/>
        <v>737591.31866890797</v>
      </c>
      <c r="M55" s="96">
        <v>0</v>
      </c>
      <c r="N55" s="96">
        <f t="shared" si="11"/>
        <v>737591.31866890797</v>
      </c>
      <c r="O55" s="96">
        <f t="shared" si="17"/>
        <v>1475182.6373378159</v>
      </c>
      <c r="P55" s="96">
        <f t="shared" si="1"/>
        <v>0</v>
      </c>
      <c r="Q55" s="97">
        <f t="shared" si="12"/>
        <v>-0.39843267546634248</v>
      </c>
      <c r="R55" s="97">
        <f t="shared" si="13"/>
        <v>0</v>
      </c>
      <c r="S55" s="71">
        <f t="shared" si="14"/>
        <v>0</v>
      </c>
      <c r="T55" s="98">
        <f t="shared" si="2"/>
        <v>0</v>
      </c>
      <c r="U55" s="99">
        <f t="shared" si="3"/>
        <v>0</v>
      </c>
      <c r="V55" s="93" t="str">
        <f t="shared" si="15"/>
        <v>SI</v>
      </c>
      <c r="W55" s="95">
        <f t="shared" si="4"/>
        <v>-1475.182637337816</v>
      </c>
      <c r="X55" s="95">
        <f t="shared" si="5"/>
        <v>0</v>
      </c>
      <c r="Y55" s="95">
        <f t="shared" si="6"/>
        <v>0</v>
      </c>
      <c r="Z55" s="95">
        <f t="shared" si="7"/>
        <v>1475.182637337816</v>
      </c>
      <c r="AA55" s="93" t="str">
        <f t="shared" si="16"/>
        <v/>
      </c>
      <c r="AB55" s="100"/>
      <c r="AC55" s="71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</row>
    <row r="56" spans="1:46" ht="18.75" x14ac:dyDescent="0.25">
      <c r="A56" s="39"/>
      <c r="B56" s="39"/>
      <c r="C56" s="93" t="s">
        <v>107</v>
      </c>
      <c r="D56" s="94">
        <f t="shared" si="8"/>
        <v>6.7500000000000004E-2</v>
      </c>
      <c r="E56" s="94">
        <f t="shared" si="9"/>
        <v>4.5459603658536546E-2</v>
      </c>
      <c r="F56" s="93" t="s">
        <v>107</v>
      </c>
      <c r="G56" s="95">
        <f t="shared" si="0"/>
        <v>-1218.2857142857108</v>
      </c>
      <c r="H56" s="71">
        <v>0</v>
      </c>
      <c r="I56" s="71">
        <v>0</v>
      </c>
      <c r="J56" s="71">
        <v>0</v>
      </c>
      <c r="K56" s="71">
        <v>0</v>
      </c>
      <c r="L56" s="96">
        <f t="shared" si="10"/>
        <v>737591.31866890797</v>
      </c>
      <c r="M56" s="96">
        <v>0</v>
      </c>
      <c r="N56" s="96">
        <f t="shared" si="11"/>
        <v>737591.31866890797</v>
      </c>
      <c r="O56" s="96">
        <f t="shared" si="17"/>
        <v>1475182.6373378159</v>
      </c>
      <c r="P56" s="96">
        <f t="shared" si="1"/>
        <v>0</v>
      </c>
      <c r="Q56" s="97">
        <f t="shared" si="12"/>
        <v>-0.39843267546634248</v>
      </c>
      <c r="R56" s="97">
        <f t="shared" si="13"/>
        <v>0</v>
      </c>
      <c r="S56" s="71">
        <f t="shared" si="14"/>
        <v>0</v>
      </c>
      <c r="T56" s="98">
        <f t="shared" si="2"/>
        <v>0</v>
      </c>
      <c r="U56" s="99">
        <f t="shared" si="3"/>
        <v>0</v>
      </c>
      <c r="V56" s="93" t="str">
        <f t="shared" si="15"/>
        <v>SI</v>
      </c>
      <c r="W56" s="95">
        <f t="shared" si="4"/>
        <v>-1475.182637337816</v>
      </c>
      <c r="X56" s="95">
        <f t="shared" si="5"/>
        <v>0</v>
      </c>
      <c r="Y56" s="95">
        <f t="shared" si="6"/>
        <v>0</v>
      </c>
      <c r="Z56" s="95">
        <f t="shared" si="7"/>
        <v>1475.182637337816</v>
      </c>
      <c r="AA56" s="93" t="str">
        <f t="shared" si="16"/>
        <v/>
      </c>
      <c r="AB56" s="100"/>
      <c r="AC56" s="71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</row>
    <row r="57" spans="1:46" ht="18.75" x14ac:dyDescent="0.25">
      <c r="A57" s="39"/>
      <c r="B57" s="39"/>
      <c r="C57" s="93" t="s">
        <v>107</v>
      </c>
      <c r="D57" s="94">
        <f t="shared" si="8"/>
        <v>6.7500000000000004E-2</v>
      </c>
      <c r="E57" s="94">
        <f t="shared" si="9"/>
        <v>4.4829878048780449E-2</v>
      </c>
      <c r="F57" s="93" t="s">
        <v>107</v>
      </c>
      <c r="G57" s="95">
        <f t="shared" si="0"/>
        <v>-1166.222222222219</v>
      </c>
      <c r="H57" s="71">
        <v>0</v>
      </c>
      <c r="I57" s="71">
        <v>0</v>
      </c>
      <c r="J57" s="71">
        <v>0</v>
      </c>
      <c r="K57" s="71">
        <v>0</v>
      </c>
      <c r="L57" s="96">
        <f t="shared" si="10"/>
        <v>737591.31866890797</v>
      </c>
      <c r="M57" s="96">
        <v>0</v>
      </c>
      <c r="N57" s="96">
        <f t="shared" si="11"/>
        <v>737591.31866890797</v>
      </c>
      <c r="O57" s="96">
        <f t="shared" si="17"/>
        <v>1475182.6373378159</v>
      </c>
      <c r="P57" s="96">
        <f t="shared" si="1"/>
        <v>0</v>
      </c>
      <c r="Q57" s="97">
        <f t="shared" si="12"/>
        <v>-0.39843267546634248</v>
      </c>
      <c r="R57" s="97">
        <f t="shared" si="13"/>
        <v>0</v>
      </c>
      <c r="S57" s="71">
        <f t="shared" si="14"/>
        <v>0</v>
      </c>
      <c r="T57" s="98">
        <f t="shared" si="2"/>
        <v>0</v>
      </c>
      <c r="U57" s="99">
        <f t="shared" si="3"/>
        <v>0</v>
      </c>
      <c r="V57" s="93" t="str">
        <f t="shared" si="15"/>
        <v>SI</v>
      </c>
      <c r="W57" s="95">
        <f t="shared" si="4"/>
        <v>-1475.182637337816</v>
      </c>
      <c r="X57" s="95">
        <f t="shared" si="5"/>
        <v>0</v>
      </c>
      <c r="Y57" s="95">
        <f t="shared" si="6"/>
        <v>0</v>
      </c>
      <c r="Z57" s="95">
        <f t="shared" si="7"/>
        <v>1475.182637337816</v>
      </c>
      <c r="AA57" s="93" t="str">
        <f t="shared" si="16"/>
        <v/>
      </c>
      <c r="AB57" s="100"/>
      <c r="AC57" s="71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</row>
    <row r="58" spans="1:46" ht="18.75" x14ac:dyDescent="0.25">
      <c r="A58" s="39"/>
      <c r="B58" s="39"/>
      <c r="C58" s="93" t="s">
        <v>107</v>
      </c>
      <c r="D58" s="94">
        <f t="shared" si="8"/>
        <v>6.7500000000000004E-2</v>
      </c>
      <c r="E58" s="94">
        <f t="shared" si="9"/>
        <v>4.4200152439024351E-2</v>
      </c>
      <c r="F58" s="93" t="s">
        <v>107</v>
      </c>
      <c r="G58" s="95">
        <f t="shared" si="0"/>
        <v>-1116.97297297297</v>
      </c>
      <c r="H58" s="71">
        <v>0</v>
      </c>
      <c r="I58" s="71">
        <v>0</v>
      </c>
      <c r="J58" s="71">
        <v>0</v>
      </c>
      <c r="K58" s="71">
        <v>0</v>
      </c>
      <c r="L58" s="96">
        <f t="shared" si="10"/>
        <v>737591.31866890797</v>
      </c>
      <c r="M58" s="96">
        <v>0</v>
      </c>
      <c r="N58" s="96">
        <f t="shared" si="11"/>
        <v>737591.31866890797</v>
      </c>
      <c r="O58" s="96">
        <f t="shared" si="17"/>
        <v>1475182.6373378159</v>
      </c>
      <c r="P58" s="96">
        <f t="shared" si="1"/>
        <v>0</v>
      </c>
      <c r="Q58" s="97">
        <f t="shared" si="12"/>
        <v>-0.39843267546634248</v>
      </c>
      <c r="R58" s="97">
        <f t="shared" si="13"/>
        <v>0</v>
      </c>
      <c r="S58" s="71">
        <f t="shared" si="14"/>
        <v>0</v>
      </c>
      <c r="T58" s="98">
        <f t="shared" si="2"/>
        <v>0</v>
      </c>
      <c r="U58" s="99">
        <f t="shared" si="3"/>
        <v>0</v>
      </c>
      <c r="V58" s="93" t="str">
        <f t="shared" si="15"/>
        <v>SI</v>
      </c>
      <c r="W58" s="95">
        <f t="shared" si="4"/>
        <v>-1475.182637337816</v>
      </c>
      <c r="X58" s="95">
        <f t="shared" si="5"/>
        <v>0</v>
      </c>
      <c r="Y58" s="95">
        <f t="shared" si="6"/>
        <v>0</v>
      </c>
      <c r="Z58" s="95">
        <f t="shared" si="7"/>
        <v>1475.182637337816</v>
      </c>
      <c r="AA58" s="93" t="str">
        <f t="shared" si="16"/>
        <v/>
      </c>
      <c r="AB58" s="100"/>
      <c r="AC58" s="71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ht="18.75" x14ac:dyDescent="0.25">
      <c r="A59" s="39"/>
      <c r="B59" s="39"/>
      <c r="C59" s="93" t="s">
        <v>107</v>
      </c>
      <c r="D59" s="94">
        <f t="shared" si="8"/>
        <v>6.7500000000000004E-2</v>
      </c>
      <c r="E59" s="94">
        <f t="shared" si="9"/>
        <v>4.3570426829268254E-2</v>
      </c>
      <c r="F59" s="93" t="s">
        <v>107</v>
      </c>
      <c r="G59" s="95">
        <f t="shared" si="0"/>
        <v>-1070.3157894736812</v>
      </c>
      <c r="H59" s="71">
        <v>0</v>
      </c>
      <c r="I59" s="71">
        <v>0</v>
      </c>
      <c r="J59" s="71">
        <v>0</v>
      </c>
      <c r="K59" s="71">
        <v>0</v>
      </c>
      <c r="L59" s="96">
        <f t="shared" si="10"/>
        <v>737591.31866890797</v>
      </c>
      <c r="M59" s="96">
        <v>0</v>
      </c>
      <c r="N59" s="96">
        <f t="shared" si="11"/>
        <v>737591.31866890797</v>
      </c>
      <c r="O59" s="96">
        <f t="shared" si="17"/>
        <v>1475182.6373378159</v>
      </c>
      <c r="P59" s="96">
        <f t="shared" si="1"/>
        <v>0</v>
      </c>
      <c r="Q59" s="97">
        <f t="shared" si="12"/>
        <v>-0.39843267546634248</v>
      </c>
      <c r="R59" s="97">
        <f t="shared" si="13"/>
        <v>0</v>
      </c>
      <c r="S59" s="71">
        <f t="shared" si="14"/>
        <v>0</v>
      </c>
      <c r="T59" s="98">
        <f t="shared" si="2"/>
        <v>0</v>
      </c>
      <c r="U59" s="99">
        <f t="shared" si="3"/>
        <v>0</v>
      </c>
      <c r="V59" s="93" t="str">
        <f t="shared" si="15"/>
        <v>SI</v>
      </c>
      <c r="W59" s="95">
        <f t="shared" si="4"/>
        <v>-1475.182637337816</v>
      </c>
      <c r="X59" s="95">
        <f t="shared" si="5"/>
        <v>0</v>
      </c>
      <c r="Y59" s="95">
        <f t="shared" si="6"/>
        <v>0</v>
      </c>
      <c r="Z59" s="95">
        <f t="shared" si="7"/>
        <v>1475.182637337816</v>
      </c>
      <c r="AA59" s="93" t="str">
        <f t="shared" si="16"/>
        <v/>
      </c>
      <c r="AB59" s="100"/>
      <c r="AC59" s="71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ht="18.75" x14ac:dyDescent="0.25">
      <c r="A60" s="39"/>
      <c r="B60" s="39"/>
      <c r="C60" s="93" t="s">
        <v>107</v>
      </c>
      <c r="D60" s="94">
        <f t="shared" si="8"/>
        <v>6.7500000000000004E-2</v>
      </c>
      <c r="E60" s="94">
        <f t="shared" si="9"/>
        <v>4.2940701219512156E-2</v>
      </c>
      <c r="F60" s="93" t="s">
        <v>107</v>
      </c>
      <c r="G60" s="95">
        <f t="shared" si="0"/>
        <v>-1026.0512820512793</v>
      </c>
      <c r="H60" s="71">
        <v>0</v>
      </c>
      <c r="I60" s="71">
        <v>0</v>
      </c>
      <c r="J60" s="71">
        <v>0</v>
      </c>
      <c r="K60" s="71">
        <v>0</v>
      </c>
      <c r="L60" s="96">
        <f t="shared" si="10"/>
        <v>737591.31866890797</v>
      </c>
      <c r="M60" s="96">
        <v>0</v>
      </c>
      <c r="N60" s="96">
        <f t="shared" si="11"/>
        <v>737591.31866890797</v>
      </c>
      <c r="O60" s="96">
        <f t="shared" si="17"/>
        <v>1475182.6373378159</v>
      </c>
      <c r="P60" s="96">
        <f t="shared" si="1"/>
        <v>0</v>
      </c>
      <c r="Q60" s="97">
        <f t="shared" si="12"/>
        <v>-0.39843267546634248</v>
      </c>
      <c r="R60" s="97">
        <f t="shared" si="13"/>
        <v>0</v>
      </c>
      <c r="S60" s="71">
        <f t="shared" si="14"/>
        <v>0</v>
      </c>
      <c r="T60" s="98">
        <f t="shared" si="2"/>
        <v>0</v>
      </c>
      <c r="U60" s="99">
        <f t="shared" si="3"/>
        <v>0</v>
      </c>
      <c r="V60" s="93" t="str">
        <f t="shared" si="15"/>
        <v>SI</v>
      </c>
      <c r="W60" s="95">
        <f t="shared" si="4"/>
        <v>-1475.182637337816</v>
      </c>
      <c r="X60" s="95">
        <f t="shared" si="5"/>
        <v>0</v>
      </c>
      <c r="Y60" s="95">
        <f t="shared" si="6"/>
        <v>0</v>
      </c>
      <c r="Z60" s="95">
        <f t="shared" si="7"/>
        <v>1475.182637337816</v>
      </c>
      <c r="AA60" s="93" t="str">
        <f t="shared" si="16"/>
        <v/>
      </c>
      <c r="AB60" s="100"/>
      <c r="AC60" s="71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ht="18.75" x14ac:dyDescent="0.25">
      <c r="A61" s="39"/>
      <c r="B61" s="39"/>
      <c r="C61" s="93" t="s">
        <v>107</v>
      </c>
      <c r="D61" s="94">
        <f t="shared" si="8"/>
        <v>6.7500000000000004E-2</v>
      </c>
      <c r="E61" s="94">
        <f t="shared" si="9"/>
        <v>4.2310975609756059E-2</v>
      </c>
      <c r="F61" s="93" t="s">
        <v>107</v>
      </c>
      <c r="G61" s="95">
        <f t="shared" si="0"/>
        <v>-983.99999999999739</v>
      </c>
      <c r="H61" s="71">
        <v>0</v>
      </c>
      <c r="I61" s="71">
        <v>0</v>
      </c>
      <c r="J61" s="71">
        <v>0</v>
      </c>
      <c r="K61" s="71">
        <v>0</v>
      </c>
      <c r="L61" s="96">
        <f t="shared" si="10"/>
        <v>737591.31866890797</v>
      </c>
      <c r="M61" s="96">
        <v>0</v>
      </c>
      <c r="N61" s="96">
        <f t="shared" si="11"/>
        <v>737591.31866890797</v>
      </c>
      <c r="O61" s="96">
        <f t="shared" si="17"/>
        <v>1475182.6373378159</v>
      </c>
      <c r="P61" s="96">
        <f t="shared" si="1"/>
        <v>0</v>
      </c>
      <c r="Q61" s="97">
        <f t="shared" si="12"/>
        <v>-0.39843267546634248</v>
      </c>
      <c r="R61" s="97">
        <f t="shared" si="13"/>
        <v>0</v>
      </c>
      <c r="S61" s="71">
        <f t="shared" si="14"/>
        <v>0</v>
      </c>
      <c r="T61" s="98">
        <f t="shared" si="2"/>
        <v>0</v>
      </c>
      <c r="U61" s="99">
        <f t="shared" si="3"/>
        <v>0</v>
      </c>
      <c r="V61" s="93" t="str">
        <f t="shared" si="15"/>
        <v>SI</v>
      </c>
      <c r="W61" s="95">
        <f t="shared" si="4"/>
        <v>-1475.182637337816</v>
      </c>
      <c r="X61" s="95">
        <f t="shared" si="5"/>
        <v>0</v>
      </c>
      <c r="Y61" s="95">
        <f t="shared" si="6"/>
        <v>0</v>
      </c>
      <c r="Z61" s="95">
        <f t="shared" si="7"/>
        <v>1475.182637337816</v>
      </c>
      <c r="AA61" s="93" t="str">
        <f t="shared" si="16"/>
        <v/>
      </c>
      <c r="AB61" s="100"/>
      <c r="AC61" s="71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ht="18.75" x14ac:dyDescent="0.25">
      <c r="A62" s="39"/>
      <c r="B62" s="39"/>
      <c r="C62" s="93" t="s">
        <v>107</v>
      </c>
      <c r="D62" s="94">
        <f t="shared" si="8"/>
        <v>6.7500000000000004E-2</v>
      </c>
      <c r="E62" s="94">
        <f t="shared" si="9"/>
        <v>4.1681249999999961E-2</v>
      </c>
      <c r="F62" s="93" t="s">
        <v>107</v>
      </c>
      <c r="G62" s="95">
        <f t="shared" si="0"/>
        <v>-943.9999999999975</v>
      </c>
      <c r="H62" s="71">
        <v>0</v>
      </c>
      <c r="I62" s="71">
        <v>0</v>
      </c>
      <c r="J62" s="71">
        <v>0</v>
      </c>
      <c r="K62" s="71">
        <v>0</v>
      </c>
      <c r="L62" s="96">
        <f t="shared" si="10"/>
        <v>737591.31866890797</v>
      </c>
      <c r="M62" s="96">
        <v>0</v>
      </c>
      <c r="N62" s="96">
        <f t="shared" si="11"/>
        <v>737591.31866890797</v>
      </c>
      <c r="O62" s="96">
        <f t="shared" si="17"/>
        <v>1475182.6373378159</v>
      </c>
      <c r="P62" s="96">
        <f t="shared" si="1"/>
        <v>0</v>
      </c>
      <c r="Q62" s="97">
        <f t="shared" si="12"/>
        <v>-0.39843267546634248</v>
      </c>
      <c r="R62" s="97">
        <f t="shared" si="13"/>
        <v>0</v>
      </c>
      <c r="S62" s="71">
        <f t="shared" si="14"/>
        <v>0</v>
      </c>
      <c r="T62" s="98">
        <f t="shared" si="2"/>
        <v>0</v>
      </c>
      <c r="U62" s="99">
        <f t="shared" si="3"/>
        <v>0</v>
      </c>
      <c r="V62" s="93" t="str">
        <f t="shared" si="15"/>
        <v>SI</v>
      </c>
      <c r="W62" s="95">
        <f t="shared" si="4"/>
        <v>-1475.182637337816</v>
      </c>
      <c r="X62" s="95">
        <f t="shared" si="5"/>
        <v>0</v>
      </c>
      <c r="Y62" s="95">
        <f t="shared" si="6"/>
        <v>0</v>
      </c>
      <c r="Z62" s="95">
        <f t="shared" si="7"/>
        <v>1475.182637337816</v>
      </c>
      <c r="AA62" s="93" t="str">
        <f t="shared" si="16"/>
        <v/>
      </c>
      <c r="AB62" s="100"/>
      <c r="AC62" s="71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ht="18.75" x14ac:dyDescent="0.25">
      <c r="A63" s="39"/>
      <c r="B63" s="39"/>
      <c r="C63" s="93" t="s">
        <v>107</v>
      </c>
      <c r="D63" s="94">
        <f t="shared" si="8"/>
        <v>6.7500000000000004E-2</v>
      </c>
      <c r="E63" s="94">
        <f t="shared" si="9"/>
        <v>4.1051524390243864E-2</v>
      </c>
      <c r="F63" s="93" t="s">
        <v>107</v>
      </c>
      <c r="G63" s="95">
        <f t="shared" si="0"/>
        <v>-905.90476190475954</v>
      </c>
      <c r="H63" s="71">
        <v>0</v>
      </c>
      <c r="I63" s="71">
        <v>0</v>
      </c>
      <c r="J63" s="71">
        <v>0</v>
      </c>
      <c r="K63" s="71">
        <v>0</v>
      </c>
      <c r="L63" s="96">
        <f t="shared" si="10"/>
        <v>737591.31866890797</v>
      </c>
      <c r="M63" s="96">
        <v>0</v>
      </c>
      <c r="N63" s="96">
        <f t="shared" si="11"/>
        <v>737591.31866890797</v>
      </c>
      <c r="O63" s="96">
        <f t="shared" si="17"/>
        <v>1475182.6373378159</v>
      </c>
      <c r="P63" s="96">
        <f t="shared" si="1"/>
        <v>0</v>
      </c>
      <c r="Q63" s="97">
        <f t="shared" si="12"/>
        <v>-0.39843267546634248</v>
      </c>
      <c r="R63" s="97">
        <f t="shared" si="13"/>
        <v>0</v>
      </c>
      <c r="S63" s="71">
        <f t="shared" si="14"/>
        <v>0</v>
      </c>
      <c r="T63" s="98">
        <f t="shared" si="2"/>
        <v>0</v>
      </c>
      <c r="U63" s="99">
        <f t="shared" si="3"/>
        <v>0</v>
      </c>
      <c r="V63" s="93" t="str">
        <f t="shared" si="15"/>
        <v>SI</v>
      </c>
      <c r="W63" s="95">
        <f t="shared" si="4"/>
        <v>-1475.182637337816</v>
      </c>
      <c r="X63" s="95">
        <f t="shared" si="5"/>
        <v>0</v>
      </c>
      <c r="Y63" s="95">
        <f t="shared" si="6"/>
        <v>0</v>
      </c>
      <c r="Z63" s="95">
        <f t="shared" si="7"/>
        <v>1475.182637337816</v>
      </c>
      <c r="AA63" s="93" t="str">
        <f t="shared" si="16"/>
        <v/>
      </c>
      <c r="AB63" s="100"/>
      <c r="AC63" s="71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ht="18.75" x14ac:dyDescent="0.25">
      <c r="A64" s="39"/>
      <c r="B64" s="39"/>
      <c r="C64" s="93" t="s">
        <v>107</v>
      </c>
      <c r="D64" s="94">
        <f t="shared" si="8"/>
        <v>6.7500000000000004E-2</v>
      </c>
      <c r="E64" s="94">
        <f t="shared" si="9"/>
        <v>4.0421798780487767E-2</v>
      </c>
      <c r="F64" s="93" t="s">
        <v>107</v>
      </c>
      <c r="G64" s="95">
        <f t="shared" si="0"/>
        <v>-869.58139534883492</v>
      </c>
      <c r="H64" s="71">
        <v>0</v>
      </c>
      <c r="I64" s="71">
        <v>0</v>
      </c>
      <c r="J64" s="71">
        <v>0</v>
      </c>
      <c r="K64" s="71">
        <v>0</v>
      </c>
      <c r="L64" s="96">
        <f t="shared" si="10"/>
        <v>737591.31866890797</v>
      </c>
      <c r="M64" s="96">
        <v>0</v>
      </c>
      <c r="N64" s="96">
        <f t="shared" si="11"/>
        <v>737591.31866890797</v>
      </c>
      <c r="O64" s="96">
        <f t="shared" si="17"/>
        <v>1475182.6373378159</v>
      </c>
      <c r="P64" s="96">
        <f t="shared" si="1"/>
        <v>0</v>
      </c>
      <c r="Q64" s="97">
        <f t="shared" si="12"/>
        <v>-0.39843267546634248</v>
      </c>
      <c r="R64" s="97">
        <f t="shared" si="13"/>
        <v>0</v>
      </c>
      <c r="S64" s="71">
        <f t="shared" si="14"/>
        <v>0</v>
      </c>
      <c r="T64" s="98">
        <f t="shared" si="2"/>
        <v>0</v>
      </c>
      <c r="U64" s="99">
        <f t="shared" si="3"/>
        <v>0</v>
      </c>
      <c r="V64" s="93" t="str">
        <f t="shared" si="15"/>
        <v>SI</v>
      </c>
      <c r="W64" s="95">
        <f t="shared" si="4"/>
        <v>-1475.182637337816</v>
      </c>
      <c r="X64" s="95">
        <f t="shared" si="5"/>
        <v>0</v>
      </c>
      <c r="Y64" s="95">
        <f t="shared" si="6"/>
        <v>0</v>
      </c>
      <c r="Z64" s="95">
        <f t="shared" si="7"/>
        <v>1475.182637337816</v>
      </c>
      <c r="AA64" s="93" t="str">
        <f t="shared" si="16"/>
        <v/>
      </c>
      <c r="AB64" s="100"/>
      <c r="AC64" s="71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46" ht="18.75" x14ac:dyDescent="0.25">
      <c r="A65" s="39"/>
      <c r="B65" s="39"/>
      <c r="C65" s="93" t="s">
        <v>107</v>
      </c>
      <c r="D65" s="94">
        <f t="shared" si="8"/>
        <v>6.7500000000000004E-2</v>
      </c>
      <c r="E65" s="94">
        <f t="shared" si="9"/>
        <v>3.9792073170731669E-2</v>
      </c>
      <c r="F65" s="93" t="s">
        <v>107</v>
      </c>
      <c r="G65" s="95">
        <f t="shared" si="0"/>
        <v>-834.90909090908872</v>
      </c>
      <c r="H65" s="71">
        <v>0</v>
      </c>
      <c r="I65" s="71">
        <v>0</v>
      </c>
      <c r="J65" s="71">
        <v>0</v>
      </c>
      <c r="K65" s="71">
        <v>0</v>
      </c>
      <c r="L65" s="96">
        <f t="shared" si="10"/>
        <v>737591.31866890797</v>
      </c>
      <c r="M65" s="96">
        <v>0</v>
      </c>
      <c r="N65" s="96">
        <f t="shared" si="11"/>
        <v>737591.31866890797</v>
      </c>
      <c r="O65" s="96">
        <f t="shared" si="17"/>
        <v>1475182.6373378159</v>
      </c>
      <c r="P65" s="96">
        <f t="shared" si="1"/>
        <v>0</v>
      </c>
      <c r="Q65" s="97">
        <f t="shared" si="12"/>
        <v>-0.39843267546634248</v>
      </c>
      <c r="R65" s="97">
        <f t="shared" si="13"/>
        <v>0</v>
      </c>
      <c r="S65" s="71">
        <f t="shared" si="14"/>
        <v>0</v>
      </c>
      <c r="T65" s="98">
        <f t="shared" si="2"/>
        <v>0</v>
      </c>
      <c r="U65" s="99">
        <f t="shared" si="3"/>
        <v>0</v>
      </c>
      <c r="V65" s="93" t="str">
        <f t="shared" si="15"/>
        <v>SI</v>
      </c>
      <c r="W65" s="95">
        <f t="shared" si="4"/>
        <v>-1475.182637337816</v>
      </c>
      <c r="X65" s="95">
        <f t="shared" si="5"/>
        <v>0</v>
      </c>
      <c r="Y65" s="95">
        <f t="shared" si="6"/>
        <v>0</v>
      </c>
      <c r="Z65" s="95">
        <f t="shared" si="7"/>
        <v>1475.182637337816</v>
      </c>
      <c r="AA65" s="93" t="str">
        <f t="shared" si="16"/>
        <v/>
      </c>
      <c r="AB65" s="100"/>
      <c r="AC65" s="71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ht="18.75" x14ac:dyDescent="0.25">
      <c r="A66" s="39"/>
      <c r="B66" s="39"/>
      <c r="C66" s="93" t="s">
        <v>107</v>
      </c>
      <c r="D66" s="94">
        <f t="shared" si="8"/>
        <v>6.7500000000000004E-2</v>
      </c>
      <c r="E66" s="94">
        <f t="shared" si="9"/>
        <v>3.9162347560975572E-2</v>
      </c>
      <c r="F66" s="93" t="s">
        <v>107</v>
      </c>
      <c r="G66" s="95">
        <f t="shared" si="0"/>
        <v>-801.77777777777578</v>
      </c>
      <c r="H66" s="71">
        <v>0</v>
      </c>
      <c r="I66" s="71">
        <v>0</v>
      </c>
      <c r="J66" s="71">
        <v>0</v>
      </c>
      <c r="K66" s="71">
        <v>0</v>
      </c>
      <c r="L66" s="96">
        <f t="shared" si="10"/>
        <v>737591.31866890797</v>
      </c>
      <c r="M66" s="96">
        <v>0</v>
      </c>
      <c r="N66" s="96">
        <f t="shared" si="11"/>
        <v>737591.31866890797</v>
      </c>
      <c r="O66" s="96">
        <f t="shared" si="17"/>
        <v>1475182.6373378159</v>
      </c>
      <c r="P66" s="96">
        <f t="shared" si="1"/>
        <v>0</v>
      </c>
      <c r="Q66" s="97">
        <f t="shared" si="12"/>
        <v>-0.39843267546634248</v>
      </c>
      <c r="R66" s="97">
        <f t="shared" si="13"/>
        <v>0</v>
      </c>
      <c r="S66" s="71">
        <f t="shared" si="14"/>
        <v>0</v>
      </c>
      <c r="T66" s="98">
        <f t="shared" si="2"/>
        <v>0</v>
      </c>
      <c r="U66" s="99">
        <f t="shared" si="3"/>
        <v>0</v>
      </c>
      <c r="V66" s="93" t="str">
        <f t="shared" si="15"/>
        <v>SI</v>
      </c>
      <c r="W66" s="95">
        <f t="shared" si="4"/>
        <v>-1475.182637337816</v>
      </c>
      <c r="X66" s="95">
        <f t="shared" si="5"/>
        <v>0</v>
      </c>
      <c r="Y66" s="95">
        <f t="shared" si="6"/>
        <v>0</v>
      </c>
      <c r="Z66" s="95">
        <f t="shared" si="7"/>
        <v>1475.182637337816</v>
      </c>
      <c r="AA66" s="93" t="str">
        <f t="shared" si="16"/>
        <v/>
      </c>
      <c r="AB66" s="100"/>
      <c r="AC66" s="71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ht="18.75" x14ac:dyDescent="0.25">
      <c r="A67" s="39"/>
      <c r="B67" s="39"/>
      <c r="C67" s="93" t="s">
        <v>107</v>
      </c>
      <c r="D67" s="94">
        <f t="shared" si="8"/>
        <v>6.7500000000000004E-2</v>
      </c>
      <c r="E67" s="94">
        <f t="shared" si="9"/>
        <v>3.8532621951219474E-2</v>
      </c>
      <c r="F67" s="93" t="s">
        <v>107</v>
      </c>
      <c r="G67" s="95">
        <f t="shared" si="0"/>
        <v>-770.08695652173719</v>
      </c>
      <c r="H67" s="71">
        <v>0</v>
      </c>
      <c r="I67" s="71">
        <v>0</v>
      </c>
      <c r="J67" s="71">
        <v>0</v>
      </c>
      <c r="K67" s="71">
        <v>0</v>
      </c>
      <c r="L67" s="96">
        <f t="shared" si="10"/>
        <v>737591.31866890797</v>
      </c>
      <c r="M67" s="96">
        <v>0</v>
      </c>
      <c r="N67" s="96">
        <f t="shared" si="11"/>
        <v>737591.31866890797</v>
      </c>
      <c r="O67" s="96">
        <f t="shared" si="17"/>
        <v>1475182.6373378159</v>
      </c>
      <c r="P67" s="96">
        <f t="shared" si="1"/>
        <v>0</v>
      </c>
      <c r="Q67" s="97">
        <f t="shared" si="12"/>
        <v>-0.39843267546634248</v>
      </c>
      <c r="R67" s="97">
        <f t="shared" si="13"/>
        <v>0</v>
      </c>
      <c r="S67" s="71">
        <f t="shared" si="14"/>
        <v>0</v>
      </c>
      <c r="T67" s="98">
        <f t="shared" si="2"/>
        <v>0</v>
      </c>
      <c r="U67" s="99">
        <f t="shared" si="3"/>
        <v>0</v>
      </c>
      <c r="V67" s="93" t="str">
        <f t="shared" si="15"/>
        <v>SI</v>
      </c>
      <c r="W67" s="95">
        <f t="shared" si="4"/>
        <v>-1475.182637337816</v>
      </c>
      <c r="X67" s="95">
        <f t="shared" si="5"/>
        <v>0</v>
      </c>
      <c r="Y67" s="95">
        <f t="shared" si="6"/>
        <v>0</v>
      </c>
      <c r="Z67" s="95">
        <f t="shared" si="7"/>
        <v>1475.182637337816</v>
      </c>
      <c r="AA67" s="93" t="str">
        <f t="shared" si="16"/>
        <v/>
      </c>
      <c r="AB67" s="100"/>
      <c r="AC67" s="71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ht="18.75" x14ac:dyDescent="0.25">
      <c r="A68" s="39"/>
      <c r="B68" s="39"/>
      <c r="C68" s="93" t="s">
        <v>107</v>
      </c>
      <c r="D68" s="94">
        <f t="shared" si="8"/>
        <v>6.7500000000000004E-2</v>
      </c>
      <c r="E68" s="94">
        <f t="shared" si="9"/>
        <v>3.7902896341463377E-2</v>
      </c>
      <c r="F68" s="93" t="s">
        <v>107</v>
      </c>
      <c r="G68" s="95">
        <f t="shared" si="0"/>
        <v>-739.74468085106196</v>
      </c>
      <c r="H68" s="71">
        <v>0</v>
      </c>
      <c r="I68" s="71">
        <v>0</v>
      </c>
      <c r="J68" s="71">
        <v>0</v>
      </c>
      <c r="K68" s="71">
        <v>0</v>
      </c>
      <c r="L68" s="96">
        <f t="shared" si="10"/>
        <v>737591.31866890797</v>
      </c>
      <c r="M68" s="96">
        <v>0</v>
      </c>
      <c r="N68" s="96">
        <f t="shared" si="11"/>
        <v>737591.31866890797</v>
      </c>
      <c r="O68" s="96">
        <f t="shared" si="17"/>
        <v>1475182.6373378159</v>
      </c>
      <c r="P68" s="96">
        <f t="shared" si="1"/>
        <v>0</v>
      </c>
      <c r="Q68" s="97">
        <f t="shared" si="12"/>
        <v>-0.39843267546634248</v>
      </c>
      <c r="R68" s="97">
        <f t="shared" si="13"/>
        <v>0</v>
      </c>
      <c r="S68" s="71">
        <f t="shared" si="14"/>
        <v>0</v>
      </c>
      <c r="T68" s="98">
        <f t="shared" si="2"/>
        <v>0</v>
      </c>
      <c r="U68" s="99">
        <f t="shared" si="3"/>
        <v>0</v>
      </c>
      <c r="V68" s="93" t="str">
        <f t="shared" si="15"/>
        <v>SI</v>
      </c>
      <c r="W68" s="95">
        <f t="shared" si="4"/>
        <v>-1475.182637337816</v>
      </c>
      <c r="X68" s="95">
        <f t="shared" si="5"/>
        <v>0</v>
      </c>
      <c r="Y68" s="95">
        <f t="shared" si="6"/>
        <v>0</v>
      </c>
      <c r="Z68" s="95">
        <f t="shared" si="7"/>
        <v>1475.182637337816</v>
      </c>
      <c r="AA68" s="93" t="str">
        <f t="shared" si="16"/>
        <v/>
      </c>
      <c r="AB68" s="100"/>
      <c r="AC68" s="71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ht="18.75" x14ac:dyDescent="0.25">
      <c r="A69" s="39"/>
      <c r="B69" s="39"/>
      <c r="C69" s="93" t="s">
        <v>107</v>
      </c>
      <c r="D69" s="94">
        <f t="shared" si="8"/>
        <v>6.7500000000000004E-2</v>
      </c>
      <c r="E69" s="94">
        <f t="shared" si="9"/>
        <v>3.7273170731707279E-2</v>
      </c>
      <c r="F69" s="93" t="s">
        <v>107</v>
      </c>
      <c r="G69" s="95">
        <f t="shared" si="0"/>
        <v>-710.66666666666492</v>
      </c>
      <c r="H69" s="71">
        <v>0</v>
      </c>
      <c r="I69" s="71">
        <v>0</v>
      </c>
      <c r="J69" s="71">
        <v>0</v>
      </c>
      <c r="K69" s="71">
        <v>0</v>
      </c>
      <c r="L69" s="96">
        <f t="shared" si="10"/>
        <v>737591.31866890797</v>
      </c>
      <c r="M69" s="96">
        <v>0</v>
      </c>
      <c r="N69" s="96">
        <f t="shared" si="11"/>
        <v>737591.31866890797</v>
      </c>
      <c r="O69" s="96">
        <f t="shared" si="17"/>
        <v>1475182.6373378159</v>
      </c>
      <c r="P69" s="96">
        <f t="shared" si="1"/>
        <v>0</v>
      </c>
      <c r="Q69" s="97">
        <f t="shared" si="12"/>
        <v>-0.39843267546634248</v>
      </c>
      <c r="R69" s="97">
        <f t="shared" si="13"/>
        <v>0</v>
      </c>
      <c r="S69" s="71">
        <f t="shared" si="14"/>
        <v>0</v>
      </c>
      <c r="T69" s="98">
        <f t="shared" si="2"/>
        <v>0</v>
      </c>
      <c r="U69" s="99">
        <f t="shared" si="3"/>
        <v>0</v>
      </c>
      <c r="V69" s="93" t="str">
        <f t="shared" si="15"/>
        <v>SI</v>
      </c>
      <c r="W69" s="95">
        <f t="shared" si="4"/>
        <v>-1475.182637337816</v>
      </c>
      <c r="X69" s="95">
        <f t="shared" si="5"/>
        <v>0</v>
      </c>
      <c r="Y69" s="95">
        <f t="shared" si="6"/>
        <v>0</v>
      </c>
      <c r="Z69" s="95">
        <f t="shared" si="7"/>
        <v>1475.182637337816</v>
      </c>
      <c r="AA69" s="93" t="str">
        <f t="shared" si="16"/>
        <v/>
      </c>
      <c r="AB69" s="100"/>
      <c r="AC69" s="71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ht="18.75" x14ac:dyDescent="0.25">
      <c r="A70" s="39"/>
      <c r="B70" s="39"/>
      <c r="C70" s="93" t="s">
        <v>107</v>
      </c>
      <c r="D70" s="94">
        <f t="shared" si="8"/>
        <v>6.7500000000000004E-2</v>
      </c>
      <c r="E70" s="94">
        <f t="shared" si="9"/>
        <v>3.6643445121951182E-2</v>
      </c>
      <c r="F70" s="93" t="s">
        <v>107</v>
      </c>
      <c r="G70" s="95">
        <f t="shared" si="0"/>
        <v>-682.77551020407998</v>
      </c>
      <c r="H70" s="71">
        <v>0</v>
      </c>
      <c r="I70" s="71">
        <v>0</v>
      </c>
      <c r="J70" s="71">
        <v>0</v>
      </c>
      <c r="K70" s="71">
        <v>0</v>
      </c>
      <c r="L70" s="96">
        <f t="shared" si="10"/>
        <v>737591.31866890797</v>
      </c>
      <c r="M70" s="96">
        <v>0</v>
      </c>
      <c r="N70" s="96">
        <f t="shared" si="11"/>
        <v>737591.31866890797</v>
      </c>
      <c r="O70" s="96">
        <f t="shared" si="17"/>
        <v>1475182.6373378159</v>
      </c>
      <c r="P70" s="96">
        <f t="shared" si="1"/>
        <v>0</v>
      </c>
      <c r="Q70" s="97">
        <f t="shared" si="12"/>
        <v>-0.39843267546634248</v>
      </c>
      <c r="R70" s="97">
        <f t="shared" si="13"/>
        <v>0</v>
      </c>
      <c r="S70" s="71">
        <f t="shared" si="14"/>
        <v>0</v>
      </c>
      <c r="T70" s="98">
        <f t="shared" si="2"/>
        <v>0</v>
      </c>
      <c r="U70" s="99">
        <f t="shared" si="3"/>
        <v>0</v>
      </c>
      <c r="V70" s="93" t="str">
        <f t="shared" si="15"/>
        <v>SI</v>
      </c>
      <c r="W70" s="95">
        <f t="shared" si="4"/>
        <v>-1475.182637337816</v>
      </c>
      <c r="X70" s="95">
        <f t="shared" si="5"/>
        <v>0</v>
      </c>
      <c r="Y70" s="95">
        <f t="shared" si="6"/>
        <v>0</v>
      </c>
      <c r="Z70" s="95">
        <f t="shared" si="7"/>
        <v>1475.182637337816</v>
      </c>
      <c r="AA70" s="93" t="str">
        <f t="shared" si="16"/>
        <v/>
      </c>
      <c r="AB70" s="100"/>
      <c r="AC70" s="71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46" ht="18.75" x14ac:dyDescent="0.25">
      <c r="A71" s="39"/>
      <c r="B71" s="39"/>
      <c r="C71" s="93" t="s">
        <v>107</v>
      </c>
      <c r="D71" s="94">
        <f t="shared" si="8"/>
        <v>6.7500000000000004E-2</v>
      </c>
      <c r="E71" s="94">
        <f t="shared" si="9"/>
        <v>3.6013719512195085E-2</v>
      </c>
      <c r="F71" s="93" t="s">
        <v>107</v>
      </c>
      <c r="G71" s="95">
        <f t="shared" si="0"/>
        <v>-655.99999999999841</v>
      </c>
      <c r="H71" s="71">
        <v>0</v>
      </c>
      <c r="I71" s="71">
        <v>0</v>
      </c>
      <c r="J71" s="71">
        <v>0</v>
      </c>
      <c r="K71" s="71">
        <v>0</v>
      </c>
      <c r="L71" s="96">
        <f t="shared" si="10"/>
        <v>737591.31866890797</v>
      </c>
      <c r="M71" s="96">
        <v>0</v>
      </c>
      <c r="N71" s="96">
        <f t="shared" si="11"/>
        <v>737591.31866890797</v>
      </c>
      <c r="O71" s="96">
        <f t="shared" si="17"/>
        <v>1475182.6373378159</v>
      </c>
      <c r="P71" s="96">
        <f t="shared" si="1"/>
        <v>0</v>
      </c>
      <c r="Q71" s="97">
        <f t="shared" si="12"/>
        <v>-0.39843267546634248</v>
      </c>
      <c r="R71" s="97">
        <f t="shared" si="13"/>
        <v>0</v>
      </c>
      <c r="S71" s="71">
        <f t="shared" si="14"/>
        <v>0</v>
      </c>
      <c r="T71" s="98">
        <f t="shared" si="2"/>
        <v>0</v>
      </c>
      <c r="U71" s="99">
        <f t="shared" si="3"/>
        <v>0</v>
      </c>
      <c r="V71" s="93" t="str">
        <f t="shared" si="15"/>
        <v>SI</v>
      </c>
      <c r="W71" s="95">
        <f t="shared" si="4"/>
        <v>-1475.182637337816</v>
      </c>
      <c r="X71" s="95">
        <f t="shared" si="5"/>
        <v>0</v>
      </c>
      <c r="Y71" s="95">
        <f t="shared" si="6"/>
        <v>0</v>
      </c>
      <c r="Z71" s="95">
        <f t="shared" si="7"/>
        <v>1475.182637337816</v>
      </c>
      <c r="AA71" s="93" t="str">
        <f t="shared" si="16"/>
        <v/>
      </c>
      <c r="AB71" s="100"/>
      <c r="AC71" s="71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ht="18.75" x14ac:dyDescent="0.25">
      <c r="A72" s="39"/>
      <c r="B72" s="39"/>
      <c r="C72" s="93" t="s">
        <v>107</v>
      </c>
      <c r="D72" s="94">
        <f t="shared" si="8"/>
        <v>6.7500000000000004E-2</v>
      </c>
      <c r="E72" s="94">
        <f t="shared" si="9"/>
        <v>3.5383993902438987E-2</v>
      </c>
      <c r="F72" s="93" t="s">
        <v>107</v>
      </c>
      <c r="G72" s="95">
        <f t="shared" si="0"/>
        <v>-630.27450980391995</v>
      </c>
      <c r="H72" s="71">
        <v>0</v>
      </c>
      <c r="I72" s="71">
        <v>0</v>
      </c>
      <c r="J72" s="71">
        <v>0</v>
      </c>
      <c r="K72" s="71">
        <v>0</v>
      </c>
      <c r="L72" s="96">
        <f t="shared" si="10"/>
        <v>737591.31866890797</v>
      </c>
      <c r="M72" s="96">
        <v>0</v>
      </c>
      <c r="N72" s="96">
        <f t="shared" si="11"/>
        <v>737591.31866890797</v>
      </c>
      <c r="O72" s="96">
        <f t="shared" si="17"/>
        <v>1475182.6373378159</v>
      </c>
      <c r="P72" s="96">
        <f t="shared" si="1"/>
        <v>0</v>
      </c>
      <c r="Q72" s="97">
        <f t="shared" si="12"/>
        <v>-0.39843267546634248</v>
      </c>
      <c r="R72" s="97">
        <f t="shared" si="13"/>
        <v>0</v>
      </c>
      <c r="S72" s="71">
        <f t="shared" si="14"/>
        <v>0</v>
      </c>
      <c r="T72" s="98">
        <f t="shared" si="2"/>
        <v>0</v>
      </c>
      <c r="U72" s="99">
        <f t="shared" si="3"/>
        <v>0</v>
      </c>
      <c r="V72" s="93" t="str">
        <f t="shared" si="15"/>
        <v>SI</v>
      </c>
      <c r="W72" s="95">
        <f t="shared" si="4"/>
        <v>-1475.182637337816</v>
      </c>
      <c r="X72" s="95">
        <f t="shared" si="5"/>
        <v>0</v>
      </c>
      <c r="Y72" s="95">
        <f t="shared" si="6"/>
        <v>0</v>
      </c>
      <c r="Z72" s="95">
        <f t="shared" si="7"/>
        <v>1475.182637337816</v>
      </c>
      <c r="AA72" s="93" t="str">
        <f t="shared" si="16"/>
        <v/>
      </c>
      <c r="AB72" s="100"/>
      <c r="AC72" s="71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73" spans="1:46" ht="18.75" x14ac:dyDescent="0.25">
      <c r="A73" s="39"/>
      <c r="B73" s="39"/>
      <c r="C73" s="93" t="s">
        <v>107</v>
      </c>
      <c r="D73" s="94">
        <f t="shared" si="8"/>
        <v>6.7500000000000004E-2</v>
      </c>
      <c r="E73" s="94">
        <f t="shared" si="9"/>
        <v>3.475426829268289E-2</v>
      </c>
      <c r="F73" s="93" t="s">
        <v>107</v>
      </c>
      <c r="G73" s="95">
        <f t="shared" si="0"/>
        <v>-605.53846153846007</v>
      </c>
      <c r="H73" s="71">
        <v>0</v>
      </c>
      <c r="I73" s="71">
        <v>0</v>
      </c>
      <c r="J73" s="71">
        <v>0</v>
      </c>
      <c r="K73" s="71">
        <v>0</v>
      </c>
      <c r="L73" s="96">
        <f t="shared" si="10"/>
        <v>737591.31866890797</v>
      </c>
      <c r="M73" s="96">
        <v>0</v>
      </c>
      <c r="N73" s="96">
        <f t="shared" si="11"/>
        <v>737591.31866890797</v>
      </c>
      <c r="O73" s="96">
        <f t="shared" si="17"/>
        <v>1475182.6373378159</v>
      </c>
      <c r="P73" s="96">
        <f t="shared" si="1"/>
        <v>0</v>
      </c>
      <c r="Q73" s="97">
        <f t="shared" si="12"/>
        <v>-0.39843267546634248</v>
      </c>
      <c r="R73" s="97">
        <f t="shared" si="13"/>
        <v>0</v>
      </c>
      <c r="S73" s="71">
        <f t="shared" si="14"/>
        <v>0</v>
      </c>
      <c r="T73" s="98">
        <f t="shared" si="2"/>
        <v>0</v>
      </c>
      <c r="U73" s="99">
        <f t="shared" si="3"/>
        <v>0</v>
      </c>
      <c r="V73" s="93" t="str">
        <f t="shared" si="15"/>
        <v>SI</v>
      </c>
      <c r="W73" s="95">
        <f t="shared" si="4"/>
        <v>-1475.182637337816</v>
      </c>
      <c r="X73" s="95">
        <f t="shared" si="5"/>
        <v>0</v>
      </c>
      <c r="Y73" s="95">
        <f t="shared" si="6"/>
        <v>0</v>
      </c>
      <c r="Z73" s="95">
        <f t="shared" si="7"/>
        <v>1475.182637337816</v>
      </c>
      <c r="AA73" s="93" t="str">
        <f t="shared" si="16"/>
        <v/>
      </c>
      <c r="AB73" s="100"/>
      <c r="AC73" s="71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</row>
    <row r="74" spans="1:46" ht="18.75" x14ac:dyDescent="0.25">
      <c r="A74" s="39"/>
      <c r="B74" s="39"/>
      <c r="C74" s="93" t="s">
        <v>107</v>
      </c>
      <c r="D74" s="94">
        <f t="shared" si="8"/>
        <v>6.7500000000000004E-2</v>
      </c>
      <c r="E74" s="94">
        <f t="shared" si="9"/>
        <v>3.4124542682926792E-2</v>
      </c>
      <c r="F74" s="93" t="s">
        <v>107</v>
      </c>
      <c r="G74" s="95">
        <f t="shared" si="0"/>
        <v>-581.73584905660232</v>
      </c>
      <c r="H74" s="71">
        <v>0</v>
      </c>
      <c r="I74" s="71">
        <v>0</v>
      </c>
      <c r="J74" s="71">
        <v>0</v>
      </c>
      <c r="K74" s="71">
        <v>0</v>
      </c>
      <c r="L74" s="96">
        <f t="shared" si="10"/>
        <v>737591.31866890797</v>
      </c>
      <c r="M74" s="96">
        <v>0</v>
      </c>
      <c r="N74" s="96">
        <f t="shared" si="11"/>
        <v>737591.31866890797</v>
      </c>
      <c r="O74" s="96">
        <f t="shared" si="17"/>
        <v>1475182.6373378159</v>
      </c>
      <c r="P74" s="96">
        <f t="shared" si="1"/>
        <v>0</v>
      </c>
      <c r="Q74" s="97">
        <f t="shared" si="12"/>
        <v>-0.39843267546634248</v>
      </c>
      <c r="R74" s="97">
        <f t="shared" si="13"/>
        <v>0</v>
      </c>
      <c r="S74" s="71">
        <f t="shared" si="14"/>
        <v>0</v>
      </c>
      <c r="T74" s="98">
        <f t="shared" si="2"/>
        <v>0</v>
      </c>
      <c r="U74" s="99">
        <f t="shared" si="3"/>
        <v>0</v>
      </c>
      <c r="V74" s="93" t="str">
        <f t="shared" si="15"/>
        <v>SI</v>
      </c>
      <c r="W74" s="95">
        <f t="shared" si="4"/>
        <v>-1475.182637337816</v>
      </c>
      <c r="X74" s="95">
        <f t="shared" si="5"/>
        <v>0</v>
      </c>
      <c r="Y74" s="95">
        <f t="shared" si="6"/>
        <v>0</v>
      </c>
      <c r="Z74" s="95">
        <f t="shared" si="7"/>
        <v>1475.182637337816</v>
      </c>
      <c r="AA74" s="93" t="str">
        <f t="shared" si="16"/>
        <v/>
      </c>
      <c r="AB74" s="100"/>
      <c r="AC74" s="71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</row>
    <row r="75" spans="1:46" ht="18.75" x14ac:dyDescent="0.25">
      <c r="A75" s="39"/>
      <c r="B75" s="39"/>
      <c r="C75" s="93" t="s">
        <v>107</v>
      </c>
      <c r="D75" s="94">
        <f t="shared" si="8"/>
        <v>6.7500000000000004E-2</v>
      </c>
      <c r="E75" s="94">
        <f t="shared" si="9"/>
        <v>3.3494817073170695E-2</v>
      </c>
      <c r="F75" s="93" t="s">
        <v>107</v>
      </c>
      <c r="G75" s="95">
        <f t="shared" si="0"/>
        <v>-558.81481481481342</v>
      </c>
      <c r="H75" s="71">
        <v>0</v>
      </c>
      <c r="I75" s="71">
        <v>0</v>
      </c>
      <c r="J75" s="71">
        <v>0</v>
      </c>
      <c r="K75" s="71">
        <v>0</v>
      </c>
      <c r="L75" s="96">
        <f t="shared" si="10"/>
        <v>737591.31866890797</v>
      </c>
      <c r="M75" s="96">
        <v>0</v>
      </c>
      <c r="N75" s="96">
        <f t="shared" si="11"/>
        <v>737591.31866890797</v>
      </c>
      <c r="O75" s="96">
        <f t="shared" si="17"/>
        <v>1475182.6373378159</v>
      </c>
      <c r="P75" s="96">
        <f t="shared" si="1"/>
        <v>0</v>
      </c>
      <c r="Q75" s="97">
        <f t="shared" si="12"/>
        <v>-0.39843267546634248</v>
      </c>
      <c r="R75" s="97">
        <f t="shared" si="13"/>
        <v>0</v>
      </c>
      <c r="S75" s="71">
        <f t="shared" si="14"/>
        <v>0</v>
      </c>
      <c r="T75" s="98">
        <f t="shared" si="2"/>
        <v>0</v>
      </c>
      <c r="U75" s="99">
        <f t="shared" si="3"/>
        <v>0</v>
      </c>
      <c r="V75" s="93" t="str">
        <f t="shared" si="15"/>
        <v>SI</v>
      </c>
      <c r="W75" s="95">
        <f t="shared" si="4"/>
        <v>-1475.182637337816</v>
      </c>
      <c r="X75" s="95">
        <f t="shared" si="5"/>
        <v>0</v>
      </c>
      <c r="Y75" s="95">
        <f t="shared" si="6"/>
        <v>0</v>
      </c>
      <c r="Z75" s="95">
        <f t="shared" si="7"/>
        <v>1475.182637337816</v>
      </c>
      <c r="AA75" s="93" t="str">
        <f t="shared" si="16"/>
        <v/>
      </c>
      <c r="AB75" s="100"/>
      <c r="AC75" s="71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</row>
    <row r="76" spans="1:46" ht="18.75" x14ac:dyDescent="0.25">
      <c r="A76" s="39"/>
      <c r="B76" s="39"/>
      <c r="C76" s="93" t="s">
        <v>107</v>
      </c>
      <c r="D76" s="94">
        <f t="shared" si="8"/>
        <v>6.7500000000000004E-2</v>
      </c>
      <c r="E76" s="94">
        <f t="shared" si="9"/>
        <v>3.2865091463414597E-2</v>
      </c>
      <c r="F76" s="93" t="s">
        <v>107</v>
      </c>
      <c r="G76" s="95">
        <f t="shared" si="0"/>
        <v>-536.72727272727138</v>
      </c>
      <c r="H76" s="71">
        <v>0</v>
      </c>
      <c r="I76" s="71">
        <v>0</v>
      </c>
      <c r="J76" s="71">
        <v>0</v>
      </c>
      <c r="K76" s="71">
        <v>0</v>
      </c>
      <c r="L76" s="96">
        <f t="shared" si="10"/>
        <v>737591.31866890797</v>
      </c>
      <c r="M76" s="96">
        <v>0</v>
      </c>
      <c r="N76" s="96">
        <f t="shared" si="11"/>
        <v>737591.31866890797</v>
      </c>
      <c r="O76" s="96">
        <f t="shared" si="17"/>
        <v>1475182.6373378159</v>
      </c>
      <c r="P76" s="96">
        <f t="shared" si="1"/>
        <v>0</v>
      </c>
      <c r="Q76" s="97">
        <f t="shared" si="12"/>
        <v>-0.39843267546634248</v>
      </c>
      <c r="R76" s="97">
        <f t="shared" si="13"/>
        <v>0</v>
      </c>
      <c r="S76" s="71">
        <f t="shared" si="14"/>
        <v>0</v>
      </c>
      <c r="T76" s="98">
        <f t="shared" si="2"/>
        <v>0</v>
      </c>
      <c r="U76" s="99">
        <f t="shared" si="3"/>
        <v>0</v>
      </c>
      <c r="V76" s="93" t="str">
        <f t="shared" si="15"/>
        <v>SI</v>
      </c>
      <c r="W76" s="95">
        <f t="shared" si="4"/>
        <v>-1475.182637337816</v>
      </c>
      <c r="X76" s="95">
        <f t="shared" si="5"/>
        <v>0</v>
      </c>
      <c r="Y76" s="95">
        <f t="shared" si="6"/>
        <v>0</v>
      </c>
      <c r="Z76" s="95">
        <f t="shared" si="7"/>
        <v>1475.182637337816</v>
      </c>
      <c r="AA76" s="93" t="str">
        <f t="shared" si="16"/>
        <v/>
      </c>
      <c r="AB76" s="100"/>
      <c r="AC76" s="71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</row>
    <row r="77" spans="1:46" ht="18.75" x14ac:dyDescent="0.25">
      <c r="A77" s="39"/>
      <c r="B77" s="39"/>
      <c r="C77" s="93" t="s">
        <v>107</v>
      </c>
      <c r="D77" s="94">
        <f t="shared" si="8"/>
        <v>6.7500000000000004E-2</v>
      </c>
      <c r="E77" s="94">
        <f t="shared" si="9"/>
        <v>3.22353658536585E-2</v>
      </c>
      <c r="F77" s="93" t="s">
        <v>107</v>
      </c>
      <c r="G77" s="95">
        <f t="shared" si="0"/>
        <v>-515.42857142857019</v>
      </c>
      <c r="H77" s="71">
        <v>0</v>
      </c>
      <c r="I77" s="71">
        <v>0</v>
      </c>
      <c r="J77" s="71">
        <v>0</v>
      </c>
      <c r="K77" s="71">
        <v>0</v>
      </c>
      <c r="L77" s="96">
        <f t="shared" si="10"/>
        <v>737591.31866890797</v>
      </c>
      <c r="M77" s="96">
        <v>0</v>
      </c>
      <c r="N77" s="96">
        <f t="shared" si="11"/>
        <v>737591.31866890797</v>
      </c>
      <c r="O77" s="96">
        <f t="shared" si="17"/>
        <v>1475182.6373378159</v>
      </c>
      <c r="P77" s="96">
        <f t="shared" si="1"/>
        <v>0</v>
      </c>
      <c r="Q77" s="97">
        <f t="shared" si="12"/>
        <v>-0.39843267546634248</v>
      </c>
      <c r="R77" s="97">
        <f t="shared" si="13"/>
        <v>0</v>
      </c>
      <c r="S77" s="71">
        <f t="shared" si="14"/>
        <v>0</v>
      </c>
      <c r="T77" s="98">
        <f t="shared" si="2"/>
        <v>0</v>
      </c>
      <c r="U77" s="99">
        <f t="shared" si="3"/>
        <v>0</v>
      </c>
      <c r="V77" s="93" t="str">
        <f t="shared" si="15"/>
        <v>SI</v>
      </c>
      <c r="W77" s="95">
        <f t="shared" si="4"/>
        <v>-1475.182637337816</v>
      </c>
      <c r="X77" s="95">
        <f t="shared" si="5"/>
        <v>0</v>
      </c>
      <c r="Y77" s="95">
        <f t="shared" si="6"/>
        <v>0</v>
      </c>
      <c r="Z77" s="95">
        <f t="shared" si="7"/>
        <v>1475.182637337816</v>
      </c>
      <c r="AA77" s="93" t="str">
        <f t="shared" si="16"/>
        <v/>
      </c>
      <c r="AB77" s="100"/>
      <c r="AC77" s="71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</row>
    <row r="78" spans="1:46" ht="18.75" x14ac:dyDescent="0.25">
      <c r="A78" s="39"/>
      <c r="B78" s="39"/>
      <c r="C78" s="93" t="s">
        <v>107</v>
      </c>
      <c r="D78" s="94">
        <f t="shared" si="8"/>
        <v>6.7500000000000004E-2</v>
      </c>
      <c r="E78" s="94">
        <f t="shared" si="9"/>
        <v>3.1605640243902403E-2</v>
      </c>
      <c r="F78" s="93" t="s">
        <v>107</v>
      </c>
      <c r="G78" s="95">
        <f t="shared" si="0"/>
        <v>-494.87719298245491</v>
      </c>
      <c r="H78" s="71">
        <v>0</v>
      </c>
      <c r="I78" s="71">
        <v>0</v>
      </c>
      <c r="J78" s="71">
        <v>0</v>
      </c>
      <c r="K78" s="71">
        <v>0</v>
      </c>
      <c r="L78" s="96">
        <f t="shared" si="10"/>
        <v>737591.31866890797</v>
      </c>
      <c r="M78" s="96">
        <v>0</v>
      </c>
      <c r="N78" s="96">
        <f t="shared" si="11"/>
        <v>737591.31866890797</v>
      </c>
      <c r="O78" s="96">
        <f t="shared" si="17"/>
        <v>1475182.6373378159</v>
      </c>
      <c r="P78" s="96">
        <f t="shared" si="1"/>
        <v>0</v>
      </c>
      <c r="Q78" s="97">
        <f t="shared" si="12"/>
        <v>-0.39843267546634248</v>
      </c>
      <c r="R78" s="97">
        <f t="shared" si="13"/>
        <v>0</v>
      </c>
      <c r="S78" s="71">
        <f t="shared" si="14"/>
        <v>0</v>
      </c>
      <c r="T78" s="98">
        <f t="shared" si="2"/>
        <v>0</v>
      </c>
      <c r="U78" s="99">
        <f t="shared" si="3"/>
        <v>0</v>
      </c>
      <c r="V78" s="93" t="str">
        <f t="shared" si="15"/>
        <v>SI</v>
      </c>
      <c r="W78" s="95">
        <f t="shared" si="4"/>
        <v>-1475.182637337816</v>
      </c>
      <c r="X78" s="95">
        <f t="shared" si="5"/>
        <v>0</v>
      </c>
      <c r="Y78" s="95">
        <f t="shared" si="6"/>
        <v>0</v>
      </c>
      <c r="Z78" s="95">
        <f t="shared" si="7"/>
        <v>1475.182637337816</v>
      </c>
      <c r="AA78" s="93" t="str">
        <f t="shared" si="16"/>
        <v/>
      </c>
      <c r="AB78" s="100"/>
      <c r="AC78" s="71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</row>
    <row r="79" spans="1:46" ht="18.75" x14ac:dyDescent="0.25">
      <c r="A79" s="39"/>
      <c r="B79" s="39"/>
      <c r="C79" s="93" t="s">
        <v>107</v>
      </c>
      <c r="D79" s="94">
        <f t="shared" si="8"/>
        <v>6.7500000000000004E-2</v>
      </c>
      <c r="E79" s="94">
        <f t="shared" si="9"/>
        <v>3.0975914634146305E-2</v>
      </c>
      <c r="F79" s="93" t="s">
        <v>107</v>
      </c>
      <c r="G79" s="95">
        <f t="shared" si="0"/>
        <v>-475.0344827586195</v>
      </c>
      <c r="H79" s="71">
        <v>0</v>
      </c>
      <c r="I79" s="71">
        <v>0</v>
      </c>
      <c r="J79" s="71">
        <v>0</v>
      </c>
      <c r="K79" s="71">
        <v>0</v>
      </c>
      <c r="L79" s="96">
        <f t="shared" si="10"/>
        <v>737591.31866890797</v>
      </c>
      <c r="M79" s="96">
        <v>0</v>
      </c>
      <c r="N79" s="96">
        <f t="shared" si="11"/>
        <v>737591.31866890797</v>
      </c>
      <c r="O79" s="96">
        <f t="shared" si="17"/>
        <v>1475182.6373378159</v>
      </c>
      <c r="P79" s="96">
        <f t="shared" si="1"/>
        <v>0</v>
      </c>
      <c r="Q79" s="97">
        <f t="shared" si="12"/>
        <v>-0.39843267546634248</v>
      </c>
      <c r="R79" s="97">
        <f t="shared" si="13"/>
        <v>0</v>
      </c>
      <c r="S79" s="71">
        <f t="shared" si="14"/>
        <v>0</v>
      </c>
      <c r="T79" s="98">
        <f t="shared" si="2"/>
        <v>0</v>
      </c>
      <c r="U79" s="99">
        <f t="shared" si="3"/>
        <v>0</v>
      </c>
      <c r="V79" s="93" t="str">
        <f t="shared" si="15"/>
        <v>SI</v>
      </c>
      <c r="W79" s="95">
        <f t="shared" si="4"/>
        <v>-1475.182637337816</v>
      </c>
      <c r="X79" s="95">
        <f t="shared" si="5"/>
        <v>0</v>
      </c>
      <c r="Y79" s="95">
        <f t="shared" si="6"/>
        <v>0</v>
      </c>
      <c r="Z79" s="95">
        <f t="shared" si="7"/>
        <v>1475.182637337816</v>
      </c>
      <c r="AA79" s="93" t="str">
        <f t="shared" si="16"/>
        <v/>
      </c>
      <c r="AB79" s="100"/>
      <c r="AC79" s="71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</row>
    <row r="80" spans="1:46" ht="18.75" x14ac:dyDescent="0.25">
      <c r="A80" s="39"/>
      <c r="B80" s="39"/>
      <c r="C80" s="93" t="s">
        <v>107</v>
      </c>
      <c r="D80" s="94">
        <f t="shared" si="8"/>
        <v>6.7500000000000004E-2</v>
      </c>
      <c r="E80" s="94">
        <f t="shared" si="9"/>
        <v>3.0346189024390208E-2</v>
      </c>
      <c r="F80" s="93" t="s">
        <v>107</v>
      </c>
      <c r="G80" s="95">
        <f t="shared" si="0"/>
        <v>-455.86440677965987</v>
      </c>
      <c r="H80" s="71">
        <v>0</v>
      </c>
      <c r="I80" s="71">
        <v>0</v>
      </c>
      <c r="J80" s="71">
        <v>0</v>
      </c>
      <c r="K80" s="71">
        <v>0</v>
      </c>
      <c r="L80" s="96">
        <f t="shared" si="10"/>
        <v>737591.31866890797</v>
      </c>
      <c r="M80" s="96">
        <v>0</v>
      </c>
      <c r="N80" s="96">
        <f t="shared" si="11"/>
        <v>737591.31866890797</v>
      </c>
      <c r="O80" s="96">
        <f t="shared" si="17"/>
        <v>1475182.6373378159</v>
      </c>
      <c r="P80" s="96">
        <f t="shared" si="1"/>
        <v>0</v>
      </c>
      <c r="Q80" s="97">
        <f t="shared" si="12"/>
        <v>-0.39843267546634248</v>
      </c>
      <c r="R80" s="97">
        <f t="shared" si="13"/>
        <v>0</v>
      </c>
      <c r="S80" s="71">
        <f t="shared" si="14"/>
        <v>0</v>
      </c>
      <c r="T80" s="98">
        <f t="shared" si="2"/>
        <v>0</v>
      </c>
      <c r="U80" s="99">
        <f t="shared" si="3"/>
        <v>0</v>
      </c>
      <c r="V80" s="93" t="str">
        <f t="shared" si="15"/>
        <v>SI</v>
      </c>
      <c r="W80" s="95">
        <f t="shared" si="4"/>
        <v>-1475.182637337816</v>
      </c>
      <c r="X80" s="95">
        <f t="shared" si="5"/>
        <v>0</v>
      </c>
      <c r="Y80" s="95">
        <f t="shared" si="6"/>
        <v>0</v>
      </c>
      <c r="Z80" s="95">
        <f t="shared" si="7"/>
        <v>1475.182637337816</v>
      </c>
      <c r="AA80" s="93" t="str">
        <f t="shared" si="16"/>
        <v/>
      </c>
      <c r="AB80" s="100"/>
      <c r="AC80" s="71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</row>
    <row r="81" spans="1:46" ht="18.75" x14ac:dyDescent="0.25">
      <c r="A81" s="39"/>
      <c r="B81" s="39"/>
      <c r="C81" s="93" t="s">
        <v>107</v>
      </c>
      <c r="D81" s="94">
        <f t="shared" si="8"/>
        <v>6.7500000000000004E-2</v>
      </c>
      <c r="E81" s="94">
        <f t="shared" si="9"/>
        <v>2.971646341463411E-2</v>
      </c>
      <c r="F81" s="93" t="s">
        <v>107</v>
      </c>
      <c r="G81" s="95">
        <f t="shared" si="0"/>
        <v>-437.33333333333223</v>
      </c>
      <c r="H81" s="71">
        <v>0</v>
      </c>
      <c r="I81" s="71">
        <v>0</v>
      </c>
      <c r="J81" s="71">
        <v>0</v>
      </c>
      <c r="K81" s="71">
        <v>0</v>
      </c>
      <c r="L81" s="96">
        <f t="shared" si="10"/>
        <v>737591.31866890797</v>
      </c>
      <c r="M81" s="96">
        <v>0</v>
      </c>
      <c r="N81" s="96">
        <f t="shared" si="11"/>
        <v>737591.31866890797</v>
      </c>
      <c r="O81" s="96">
        <f t="shared" si="17"/>
        <v>1475182.6373378159</v>
      </c>
      <c r="P81" s="96">
        <f t="shared" si="1"/>
        <v>0</v>
      </c>
      <c r="Q81" s="97">
        <f t="shared" si="12"/>
        <v>-0.39843267546634248</v>
      </c>
      <c r="R81" s="97">
        <f t="shared" si="13"/>
        <v>0</v>
      </c>
      <c r="S81" s="71">
        <f t="shared" si="14"/>
        <v>0</v>
      </c>
      <c r="T81" s="98">
        <f t="shared" si="2"/>
        <v>0</v>
      </c>
      <c r="U81" s="99">
        <f t="shared" si="3"/>
        <v>0</v>
      </c>
      <c r="V81" s="93" t="str">
        <f t="shared" si="15"/>
        <v>SI</v>
      </c>
      <c r="W81" s="95">
        <f t="shared" si="4"/>
        <v>-1475.182637337816</v>
      </c>
      <c r="X81" s="95">
        <f t="shared" si="5"/>
        <v>0</v>
      </c>
      <c r="Y81" s="95">
        <f t="shared" si="6"/>
        <v>0</v>
      </c>
      <c r="Z81" s="95">
        <f t="shared" si="7"/>
        <v>1475.182637337816</v>
      </c>
      <c r="AA81" s="93" t="str">
        <f t="shared" si="16"/>
        <v/>
      </c>
      <c r="AB81" s="100"/>
      <c r="AC81" s="71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</row>
    <row r="82" spans="1:46" ht="18.75" x14ac:dyDescent="0.25">
      <c r="A82" s="39"/>
      <c r="B82" s="39"/>
      <c r="C82" s="93" t="s">
        <v>107</v>
      </c>
      <c r="D82" s="94">
        <f t="shared" si="8"/>
        <v>6.7500000000000004E-2</v>
      </c>
      <c r="E82" s="94">
        <f t="shared" si="9"/>
        <v>2.9086737804878013E-2</v>
      </c>
      <c r="F82" s="93" t="s">
        <v>107</v>
      </c>
      <c r="G82" s="95">
        <f t="shared" si="0"/>
        <v>-419.40983606557273</v>
      </c>
      <c r="H82" s="71">
        <v>0</v>
      </c>
      <c r="I82" s="71">
        <v>0</v>
      </c>
      <c r="J82" s="71">
        <v>0</v>
      </c>
      <c r="K82" s="71">
        <v>0</v>
      </c>
      <c r="L82" s="96">
        <f t="shared" si="10"/>
        <v>737591.31866890797</v>
      </c>
      <c r="M82" s="96">
        <v>0</v>
      </c>
      <c r="N82" s="96">
        <f t="shared" si="11"/>
        <v>737591.31866890797</v>
      </c>
      <c r="O82" s="96">
        <f t="shared" si="17"/>
        <v>1475182.6373378159</v>
      </c>
      <c r="P82" s="96">
        <f t="shared" si="1"/>
        <v>0</v>
      </c>
      <c r="Q82" s="97">
        <f t="shared" si="12"/>
        <v>-0.39843267546634248</v>
      </c>
      <c r="R82" s="97">
        <f t="shared" si="13"/>
        <v>0</v>
      </c>
      <c r="S82" s="71">
        <f t="shared" si="14"/>
        <v>0</v>
      </c>
      <c r="T82" s="98">
        <f t="shared" si="2"/>
        <v>0</v>
      </c>
      <c r="U82" s="99">
        <f t="shared" si="3"/>
        <v>0</v>
      </c>
      <c r="V82" s="93" t="str">
        <f t="shared" si="15"/>
        <v>SI</v>
      </c>
      <c r="W82" s="95">
        <f t="shared" si="4"/>
        <v>-1475.182637337816</v>
      </c>
      <c r="X82" s="95">
        <f t="shared" si="5"/>
        <v>0</v>
      </c>
      <c r="Y82" s="95">
        <f t="shared" si="6"/>
        <v>0</v>
      </c>
      <c r="Z82" s="95">
        <f t="shared" si="7"/>
        <v>1475.182637337816</v>
      </c>
      <c r="AA82" s="93" t="str">
        <f t="shared" si="16"/>
        <v/>
      </c>
      <c r="AB82" s="100"/>
      <c r="AC82" s="71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1:46" ht="18.75" x14ac:dyDescent="0.25">
      <c r="A83" s="39"/>
      <c r="B83" s="39"/>
      <c r="C83" s="93" t="s">
        <v>107</v>
      </c>
      <c r="D83" s="94">
        <f t="shared" si="8"/>
        <v>6.7500000000000004E-2</v>
      </c>
      <c r="E83" s="94">
        <f t="shared" si="9"/>
        <v>2.8457012195121915E-2</v>
      </c>
      <c r="F83" s="93" t="s">
        <v>107</v>
      </c>
      <c r="G83" s="95">
        <f t="shared" si="0"/>
        <v>-402.06451612903118</v>
      </c>
      <c r="H83" s="71">
        <v>0</v>
      </c>
      <c r="I83" s="71">
        <v>0</v>
      </c>
      <c r="J83" s="71">
        <v>0</v>
      </c>
      <c r="K83" s="71">
        <v>0</v>
      </c>
      <c r="L83" s="96">
        <f t="shared" si="10"/>
        <v>737591.31866890797</v>
      </c>
      <c r="M83" s="96">
        <v>0</v>
      </c>
      <c r="N83" s="96">
        <f t="shared" si="11"/>
        <v>737591.31866890797</v>
      </c>
      <c r="O83" s="96">
        <f t="shared" si="17"/>
        <v>1475182.6373378159</v>
      </c>
      <c r="P83" s="96">
        <f t="shared" si="1"/>
        <v>0</v>
      </c>
      <c r="Q83" s="97">
        <f t="shared" si="12"/>
        <v>-0.39843267546634248</v>
      </c>
      <c r="R83" s="97">
        <f t="shared" si="13"/>
        <v>0</v>
      </c>
      <c r="S83" s="71">
        <f t="shared" si="14"/>
        <v>0</v>
      </c>
      <c r="T83" s="98">
        <f t="shared" si="2"/>
        <v>0</v>
      </c>
      <c r="U83" s="99">
        <f t="shared" si="3"/>
        <v>0</v>
      </c>
      <c r="V83" s="93" t="str">
        <f t="shared" si="15"/>
        <v>SI</v>
      </c>
      <c r="W83" s="95">
        <f t="shared" si="4"/>
        <v>-1475.182637337816</v>
      </c>
      <c r="X83" s="95">
        <f t="shared" si="5"/>
        <v>0</v>
      </c>
      <c r="Y83" s="95">
        <f t="shared" si="6"/>
        <v>0</v>
      </c>
      <c r="Z83" s="95">
        <f t="shared" si="7"/>
        <v>1475.182637337816</v>
      </c>
      <c r="AA83" s="93" t="str">
        <f t="shared" si="16"/>
        <v/>
      </c>
      <c r="AB83" s="100"/>
      <c r="AC83" s="71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</row>
    <row r="84" spans="1:46" ht="18.75" x14ac:dyDescent="0.25">
      <c r="A84" s="39"/>
      <c r="B84" s="39"/>
      <c r="C84" s="93" t="s">
        <v>107</v>
      </c>
      <c r="D84" s="94">
        <f t="shared" si="8"/>
        <v>6.7500000000000004E-2</v>
      </c>
      <c r="E84" s="94">
        <f t="shared" si="9"/>
        <v>2.7827286585365818E-2</v>
      </c>
      <c r="F84" s="93" t="s">
        <v>107</v>
      </c>
      <c r="G84" s="95">
        <f t="shared" si="0"/>
        <v>-385.2698412698403</v>
      </c>
      <c r="H84" s="71">
        <v>0</v>
      </c>
      <c r="I84" s="71">
        <v>0</v>
      </c>
      <c r="J84" s="71">
        <v>0</v>
      </c>
      <c r="K84" s="71">
        <v>0</v>
      </c>
      <c r="L84" s="96">
        <f t="shared" si="10"/>
        <v>737591.31866890797</v>
      </c>
      <c r="M84" s="96">
        <v>0</v>
      </c>
      <c r="N84" s="96">
        <f t="shared" si="11"/>
        <v>737591.31866890797</v>
      </c>
      <c r="O84" s="96">
        <f t="shared" si="17"/>
        <v>1475182.6373378159</v>
      </c>
      <c r="P84" s="96">
        <f t="shared" si="1"/>
        <v>0</v>
      </c>
      <c r="Q84" s="97">
        <f t="shared" si="12"/>
        <v>-0.39843267546634248</v>
      </c>
      <c r="R84" s="97">
        <f t="shared" si="13"/>
        <v>0</v>
      </c>
      <c r="S84" s="71">
        <f t="shared" si="14"/>
        <v>0</v>
      </c>
      <c r="T84" s="98">
        <f t="shared" si="2"/>
        <v>0</v>
      </c>
      <c r="U84" s="99">
        <f t="shared" si="3"/>
        <v>0</v>
      </c>
      <c r="V84" s="93" t="str">
        <f t="shared" si="15"/>
        <v>SI</v>
      </c>
      <c r="W84" s="95">
        <f t="shared" si="4"/>
        <v>-1475.182637337816</v>
      </c>
      <c r="X84" s="95">
        <f t="shared" si="5"/>
        <v>0</v>
      </c>
      <c r="Y84" s="95">
        <f t="shared" si="6"/>
        <v>0</v>
      </c>
      <c r="Z84" s="95">
        <f t="shared" si="7"/>
        <v>1475.182637337816</v>
      </c>
      <c r="AA84" s="93" t="str">
        <f t="shared" si="16"/>
        <v/>
      </c>
      <c r="AB84" s="100"/>
      <c r="AC84" s="71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1:46" ht="18.75" x14ac:dyDescent="0.25">
      <c r="A85" s="39"/>
      <c r="B85" s="39"/>
      <c r="C85" s="93" t="s">
        <v>107</v>
      </c>
      <c r="D85" s="94">
        <f t="shared" si="8"/>
        <v>6.7500000000000004E-2</v>
      </c>
      <c r="E85" s="94">
        <f t="shared" si="9"/>
        <v>2.7197560975609721E-2</v>
      </c>
      <c r="F85" s="93" t="s">
        <v>107</v>
      </c>
      <c r="G85" s="95">
        <f t="shared" ref="G85:G121" si="18">(E85*$C$13-D85*$C$10)/(E85-D85)</f>
        <v>-368.99999999999909</v>
      </c>
      <c r="H85" s="71">
        <v>0</v>
      </c>
      <c r="I85" s="71">
        <v>0</v>
      </c>
      <c r="J85" s="71">
        <v>0</v>
      </c>
      <c r="K85" s="71">
        <v>0</v>
      </c>
      <c r="L85" s="96">
        <f t="shared" si="10"/>
        <v>737591.31866890797</v>
      </c>
      <c r="M85" s="96">
        <v>0</v>
      </c>
      <c r="N85" s="96">
        <f t="shared" si="11"/>
        <v>737591.31866890797</v>
      </c>
      <c r="O85" s="96">
        <f t="shared" si="17"/>
        <v>1475182.6373378159</v>
      </c>
      <c r="P85" s="96">
        <f t="shared" ref="P85:P121" si="19">-L85*($C$13/2)+N85*($C$13/2)</f>
        <v>0</v>
      </c>
      <c r="Q85" s="97">
        <f t="shared" si="12"/>
        <v>-0.39843267546634248</v>
      </c>
      <c r="R85" s="97">
        <f t="shared" si="13"/>
        <v>0</v>
      </c>
      <c r="S85" s="71">
        <f t="shared" si="14"/>
        <v>0</v>
      </c>
      <c r="T85" s="98">
        <f t="shared" ref="T85:T148" si="20">P85/O85</f>
        <v>0</v>
      </c>
      <c r="U85" s="99">
        <f t="shared" ref="U85:U148" si="21">T85/$C$13</f>
        <v>0</v>
      </c>
      <c r="V85" s="93" t="str">
        <f t="shared" si="15"/>
        <v>SI</v>
      </c>
      <c r="W85" s="95">
        <f t="shared" ref="W85:W148" si="22">-O85/10^3</f>
        <v>-1475.182637337816</v>
      </c>
      <c r="X85" s="95">
        <f t="shared" ref="X85:X148" si="23">P85/10^6</f>
        <v>0</v>
      </c>
      <c r="Y85" s="95">
        <f t="shared" ref="Y85:Y148" si="24">-P85/10^6</f>
        <v>0</v>
      </c>
      <c r="Z85" s="95">
        <f t="shared" ref="Z85:Z148" si="25">(L85+N85)/10^3</f>
        <v>1475.182637337816</v>
      </c>
      <c r="AA85" s="93" t="str">
        <f t="shared" si="16"/>
        <v/>
      </c>
      <c r="AB85" s="100"/>
      <c r="AC85" s="71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</row>
    <row r="86" spans="1:46" ht="18.75" x14ac:dyDescent="0.25">
      <c r="A86" s="39"/>
      <c r="B86" s="39"/>
      <c r="C86" s="93" t="s">
        <v>107</v>
      </c>
      <c r="D86" s="94">
        <f t="shared" ref="D86:D149" si="26">$M$8*10^-3</f>
        <v>6.7500000000000004E-2</v>
      </c>
      <c r="E86" s="94">
        <f t="shared" ref="E86:E117" si="27">E85-(D86-($C$10/$C$13*D86))/100</f>
        <v>2.6567835365853623E-2</v>
      </c>
      <c r="F86" s="93" t="s">
        <v>107</v>
      </c>
      <c r="G86" s="95">
        <f t="shared" si="18"/>
        <v>-353.23076923076832</v>
      </c>
      <c r="H86" s="71">
        <v>0</v>
      </c>
      <c r="I86" s="71">
        <v>0</v>
      </c>
      <c r="J86" s="71">
        <v>0</v>
      </c>
      <c r="K86" s="71">
        <v>0</v>
      </c>
      <c r="L86" s="96">
        <f t="shared" ref="L86:L149" si="28">IF(E86&gt;=($M$10*10^-3),$M$14*$Q$12,IF(E86&gt;=(-$M$10*10^-3),$M$16*E86*$Q$12,-$M$14*$Q$12))</f>
        <v>737591.31866890797</v>
      </c>
      <c r="M86" s="96">
        <v>0</v>
      </c>
      <c r="N86" s="96">
        <f t="shared" ref="N86:N149" si="29">IF(D86&gt;=($M$10*10^-3),$M$14*$Q$11,IF(D86&gt;=(-$M$10*10^-3),$Q$11*$M$16*D86,-$M$14*$Q$11))</f>
        <v>737591.31866890797</v>
      </c>
      <c r="O86" s="96">
        <f t="shared" si="17"/>
        <v>1475182.6373378159</v>
      </c>
      <c r="P86" s="96">
        <f t="shared" si="19"/>
        <v>0</v>
      </c>
      <c r="Q86" s="97">
        <f t="shared" ref="Q86:Q149" si="30">-O86/($C$6*$C$13*$I$10*$I$16)</f>
        <v>-0.39843267546634248</v>
      </c>
      <c r="R86" s="97">
        <f t="shared" ref="R86:R149" si="31">P86/($C$6*$C$13^2*$I$10)</f>
        <v>0</v>
      </c>
      <c r="S86" s="71">
        <f t="shared" ref="S86:S149" si="32">-1*R86</f>
        <v>0</v>
      </c>
      <c r="T86" s="98">
        <f t="shared" si="20"/>
        <v>0</v>
      </c>
      <c r="U86" s="99">
        <f t="shared" si="21"/>
        <v>0</v>
      </c>
      <c r="V86" s="93" t="str">
        <f t="shared" ref="V86:V149" si="33">IF(T86&gt;=0, IF(T86&lt;=$C$8/6, "SI", "NO"),IF(T86&gt; -$C$8/6, "SI", "NO"))</f>
        <v>SI</v>
      </c>
      <c r="W86" s="95">
        <f t="shared" si="22"/>
        <v>-1475.182637337816</v>
      </c>
      <c r="X86" s="95">
        <f t="shared" si="23"/>
        <v>0</v>
      </c>
      <c r="Y86" s="95">
        <f t="shared" si="24"/>
        <v>0</v>
      </c>
      <c r="Z86" s="95">
        <f t="shared" si="25"/>
        <v>1475.182637337816</v>
      </c>
      <c r="AA86" s="93" t="str">
        <f t="shared" ref="AA86:AA149" si="34">IF(Z86&lt;1,IF(Z86&gt;-1,"ROTTURA BILANCIATA",""),"")</f>
        <v/>
      </c>
      <c r="AB86" s="100"/>
      <c r="AC86" s="71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</row>
    <row r="87" spans="1:46" ht="18.75" x14ac:dyDescent="0.25">
      <c r="A87" s="39"/>
      <c r="B87" s="39"/>
      <c r="C87" s="93" t="s">
        <v>107</v>
      </c>
      <c r="D87" s="94">
        <f t="shared" si="26"/>
        <v>6.7500000000000004E-2</v>
      </c>
      <c r="E87" s="94">
        <f t="shared" si="27"/>
        <v>2.5938109756097526E-2</v>
      </c>
      <c r="F87" s="93" t="s">
        <v>107</v>
      </c>
      <c r="G87" s="95">
        <f t="shared" si="18"/>
        <v>-337.93939393939309</v>
      </c>
      <c r="H87" s="71">
        <v>0</v>
      </c>
      <c r="I87" s="71">
        <v>0</v>
      </c>
      <c r="J87" s="71">
        <v>0</v>
      </c>
      <c r="K87" s="71">
        <v>0</v>
      </c>
      <c r="L87" s="96">
        <f t="shared" si="28"/>
        <v>737591.31866890797</v>
      </c>
      <c r="M87" s="96">
        <v>0</v>
      </c>
      <c r="N87" s="96">
        <f t="shared" si="29"/>
        <v>737591.31866890797</v>
      </c>
      <c r="O87" s="96">
        <f t="shared" ref="O87:O150" si="35">L87+M87+N87</f>
        <v>1475182.6373378159</v>
      </c>
      <c r="P87" s="96">
        <f t="shared" si="19"/>
        <v>0</v>
      </c>
      <c r="Q87" s="97">
        <f t="shared" si="30"/>
        <v>-0.39843267546634248</v>
      </c>
      <c r="R87" s="97">
        <f t="shared" si="31"/>
        <v>0</v>
      </c>
      <c r="S87" s="71">
        <f t="shared" si="32"/>
        <v>0</v>
      </c>
      <c r="T87" s="98">
        <f t="shared" si="20"/>
        <v>0</v>
      </c>
      <c r="U87" s="99">
        <f t="shared" si="21"/>
        <v>0</v>
      </c>
      <c r="V87" s="93" t="str">
        <f t="shared" si="33"/>
        <v>SI</v>
      </c>
      <c r="W87" s="95">
        <f t="shared" si="22"/>
        <v>-1475.182637337816</v>
      </c>
      <c r="X87" s="95">
        <f t="shared" si="23"/>
        <v>0</v>
      </c>
      <c r="Y87" s="95">
        <f t="shared" si="24"/>
        <v>0</v>
      </c>
      <c r="Z87" s="95">
        <f t="shared" si="25"/>
        <v>1475.182637337816</v>
      </c>
      <c r="AA87" s="93" t="str">
        <f t="shared" si="34"/>
        <v/>
      </c>
      <c r="AB87" s="100"/>
      <c r="AC87" s="71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</row>
    <row r="88" spans="1:46" ht="18.75" x14ac:dyDescent="0.25">
      <c r="A88" s="39"/>
      <c r="B88" s="39"/>
      <c r="C88" s="93" t="s">
        <v>107</v>
      </c>
      <c r="D88" s="94">
        <f t="shared" si="26"/>
        <v>6.7500000000000004E-2</v>
      </c>
      <c r="E88" s="94">
        <f t="shared" si="27"/>
        <v>2.5308384146341428E-2</v>
      </c>
      <c r="F88" s="93" t="s">
        <v>107</v>
      </c>
      <c r="G88" s="95">
        <f t="shared" si="18"/>
        <v>-323.10447761193944</v>
      </c>
      <c r="H88" s="71">
        <v>0</v>
      </c>
      <c r="I88" s="71">
        <v>0</v>
      </c>
      <c r="J88" s="71">
        <v>0</v>
      </c>
      <c r="K88" s="71">
        <v>0</v>
      </c>
      <c r="L88" s="96">
        <f t="shared" si="28"/>
        <v>737591.31866890797</v>
      </c>
      <c r="M88" s="96">
        <v>0</v>
      </c>
      <c r="N88" s="96">
        <f t="shared" si="29"/>
        <v>737591.31866890797</v>
      </c>
      <c r="O88" s="96">
        <f t="shared" si="35"/>
        <v>1475182.6373378159</v>
      </c>
      <c r="P88" s="96">
        <f t="shared" si="19"/>
        <v>0</v>
      </c>
      <c r="Q88" s="97">
        <f t="shared" si="30"/>
        <v>-0.39843267546634248</v>
      </c>
      <c r="R88" s="97">
        <f t="shared" si="31"/>
        <v>0</v>
      </c>
      <c r="S88" s="71">
        <f t="shared" si="32"/>
        <v>0</v>
      </c>
      <c r="T88" s="98">
        <f t="shared" si="20"/>
        <v>0</v>
      </c>
      <c r="U88" s="99">
        <f t="shared" si="21"/>
        <v>0</v>
      </c>
      <c r="V88" s="93" t="str">
        <f t="shared" si="33"/>
        <v>SI</v>
      </c>
      <c r="W88" s="95">
        <f t="shared" si="22"/>
        <v>-1475.182637337816</v>
      </c>
      <c r="X88" s="95">
        <f t="shared" si="23"/>
        <v>0</v>
      </c>
      <c r="Y88" s="95">
        <f t="shared" si="24"/>
        <v>0</v>
      </c>
      <c r="Z88" s="95">
        <f t="shared" si="25"/>
        <v>1475.182637337816</v>
      </c>
      <c r="AA88" s="93" t="str">
        <f t="shared" si="34"/>
        <v/>
      </c>
      <c r="AB88" s="100"/>
      <c r="AC88" s="71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</row>
    <row r="89" spans="1:46" ht="18.75" x14ac:dyDescent="0.25">
      <c r="A89" s="39"/>
      <c r="B89" s="39"/>
      <c r="C89" s="93" t="s">
        <v>107</v>
      </c>
      <c r="D89" s="94">
        <f t="shared" si="26"/>
        <v>6.7500000000000004E-2</v>
      </c>
      <c r="E89" s="94">
        <f t="shared" si="27"/>
        <v>2.4678658536585331E-2</v>
      </c>
      <c r="F89" s="93" t="s">
        <v>107</v>
      </c>
      <c r="G89" s="95">
        <f t="shared" si="18"/>
        <v>-308.70588235294036</v>
      </c>
      <c r="H89" s="71">
        <v>0</v>
      </c>
      <c r="I89" s="71">
        <v>0</v>
      </c>
      <c r="J89" s="71">
        <v>0</v>
      </c>
      <c r="K89" s="71">
        <v>0</v>
      </c>
      <c r="L89" s="96">
        <f t="shared" si="28"/>
        <v>737591.31866890797</v>
      </c>
      <c r="M89" s="96">
        <v>0</v>
      </c>
      <c r="N89" s="96">
        <f t="shared" si="29"/>
        <v>737591.31866890797</v>
      </c>
      <c r="O89" s="96">
        <f t="shared" si="35"/>
        <v>1475182.6373378159</v>
      </c>
      <c r="P89" s="96">
        <f t="shared" si="19"/>
        <v>0</v>
      </c>
      <c r="Q89" s="97">
        <f t="shared" si="30"/>
        <v>-0.39843267546634248</v>
      </c>
      <c r="R89" s="97">
        <f t="shared" si="31"/>
        <v>0</v>
      </c>
      <c r="S89" s="71">
        <f t="shared" si="32"/>
        <v>0</v>
      </c>
      <c r="T89" s="98">
        <f t="shared" si="20"/>
        <v>0</v>
      </c>
      <c r="U89" s="99">
        <f t="shared" si="21"/>
        <v>0</v>
      </c>
      <c r="V89" s="93" t="str">
        <f t="shared" si="33"/>
        <v>SI</v>
      </c>
      <c r="W89" s="95">
        <f t="shared" si="22"/>
        <v>-1475.182637337816</v>
      </c>
      <c r="X89" s="95">
        <f t="shared" si="23"/>
        <v>0</v>
      </c>
      <c r="Y89" s="95">
        <f t="shared" si="24"/>
        <v>0</v>
      </c>
      <c r="Z89" s="95">
        <f t="shared" si="25"/>
        <v>1475.182637337816</v>
      </c>
      <c r="AA89" s="93" t="str">
        <f t="shared" si="34"/>
        <v/>
      </c>
      <c r="AB89" s="100"/>
      <c r="AC89" s="71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</row>
    <row r="90" spans="1:46" ht="18.75" x14ac:dyDescent="0.25">
      <c r="A90" s="39"/>
      <c r="B90" s="39"/>
      <c r="C90" s="93" t="s">
        <v>107</v>
      </c>
      <c r="D90" s="94">
        <f t="shared" si="26"/>
        <v>6.7500000000000004E-2</v>
      </c>
      <c r="E90" s="94">
        <f t="shared" si="27"/>
        <v>2.4048932926829233E-2</v>
      </c>
      <c r="F90" s="93" t="s">
        <v>107</v>
      </c>
      <c r="G90" s="95">
        <f t="shared" si="18"/>
        <v>-294.72463768115858</v>
      </c>
      <c r="H90" s="71">
        <v>0</v>
      </c>
      <c r="I90" s="71">
        <v>0</v>
      </c>
      <c r="J90" s="71">
        <v>0</v>
      </c>
      <c r="K90" s="71">
        <v>0</v>
      </c>
      <c r="L90" s="96">
        <f t="shared" si="28"/>
        <v>737591.31866890797</v>
      </c>
      <c r="M90" s="96">
        <v>0</v>
      </c>
      <c r="N90" s="96">
        <f t="shared" si="29"/>
        <v>737591.31866890797</v>
      </c>
      <c r="O90" s="96">
        <f t="shared" si="35"/>
        <v>1475182.6373378159</v>
      </c>
      <c r="P90" s="96">
        <f t="shared" si="19"/>
        <v>0</v>
      </c>
      <c r="Q90" s="97">
        <f t="shared" si="30"/>
        <v>-0.39843267546634248</v>
      </c>
      <c r="R90" s="97">
        <f t="shared" si="31"/>
        <v>0</v>
      </c>
      <c r="S90" s="71">
        <f t="shared" si="32"/>
        <v>0</v>
      </c>
      <c r="T90" s="98">
        <f t="shared" si="20"/>
        <v>0</v>
      </c>
      <c r="U90" s="99">
        <f t="shared" si="21"/>
        <v>0</v>
      </c>
      <c r="V90" s="93" t="str">
        <f t="shared" si="33"/>
        <v>SI</v>
      </c>
      <c r="W90" s="95">
        <f t="shared" si="22"/>
        <v>-1475.182637337816</v>
      </c>
      <c r="X90" s="95">
        <f t="shared" si="23"/>
        <v>0</v>
      </c>
      <c r="Y90" s="95">
        <f t="shared" si="24"/>
        <v>0</v>
      </c>
      <c r="Z90" s="95">
        <f t="shared" si="25"/>
        <v>1475.182637337816</v>
      </c>
      <c r="AA90" s="93" t="str">
        <f t="shared" si="34"/>
        <v/>
      </c>
      <c r="AB90" s="100"/>
      <c r="AC90" s="71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</row>
    <row r="91" spans="1:46" ht="18.75" x14ac:dyDescent="0.25">
      <c r="A91" s="39"/>
      <c r="B91" s="39"/>
      <c r="C91" s="93" t="s">
        <v>107</v>
      </c>
      <c r="D91" s="94">
        <f t="shared" si="26"/>
        <v>6.7500000000000004E-2</v>
      </c>
      <c r="E91" s="94">
        <f t="shared" si="27"/>
        <v>2.3419207317073136E-2</v>
      </c>
      <c r="F91" s="93" t="s">
        <v>107</v>
      </c>
      <c r="G91" s="95">
        <f t="shared" si="18"/>
        <v>-281.14285714285637</v>
      </c>
      <c r="H91" s="71">
        <v>0</v>
      </c>
      <c r="I91" s="71">
        <v>0</v>
      </c>
      <c r="J91" s="71">
        <v>0</v>
      </c>
      <c r="K91" s="71">
        <v>0</v>
      </c>
      <c r="L91" s="96">
        <f t="shared" si="28"/>
        <v>737591.31866890797</v>
      </c>
      <c r="M91" s="96">
        <v>0</v>
      </c>
      <c r="N91" s="96">
        <f t="shared" si="29"/>
        <v>737591.31866890797</v>
      </c>
      <c r="O91" s="96">
        <f t="shared" si="35"/>
        <v>1475182.6373378159</v>
      </c>
      <c r="P91" s="96">
        <f t="shared" si="19"/>
        <v>0</v>
      </c>
      <c r="Q91" s="97">
        <f t="shared" si="30"/>
        <v>-0.39843267546634248</v>
      </c>
      <c r="R91" s="97">
        <f t="shared" si="31"/>
        <v>0</v>
      </c>
      <c r="S91" s="71">
        <f t="shared" si="32"/>
        <v>0</v>
      </c>
      <c r="T91" s="98">
        <f t="shared" si="20"/>
        <v>0</v>
      </c>
      <c r="U91" s="99">
        <f t="shared" si="21"/>
        <v>0</v>
      </c>
      <c r="V91" s="93" t="str">
        <f t="shared" si="33"/>
        <v>SI</v>
      </c>
      <c r="W91" s="95">
        <f t="shared" si="22"/>
        <v>-1475.182637337816</v>
      </c>
      <c r="X91" s="95">
        <f t="shared" si="23"/>
        <v>0</v>
      </c>
      <c r="Y91" s="95">
        <f t="shared" si="24"/>
        <v>0</v>
      </c>
      <c r="Z91" s="95">
        <f t="shared" si="25"/>
        <v>1475.182637337816</v>
      </c>
      <c r="AA91" s="93" t="str">
        <f t="shared" si="34"/>
        <v/>
      </c>
      <c r="AB91" s="100"/>
      <c r="AC91" s="71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</row>
    <row r="92" spans="1:46" ht="18.75" x14ac:dyDescent="0.25">
      <c r="A92" s="39"/>
      <c r="B92" s="39"/>
      <c r="C92" s="93" t="s">
        <v>107</v>
      </c>
      <c r="D92" s="94">
        <f t="shared" si="26"/>
        <v>6.7500000000000004E-2</v>
      </c>
      <c r="E92" s="94">
        <f t="shared" si="27"/>
        <v>2.2789481707317039E-2</v>
      </c>
      <c r="F92" s="93" t="s">
        <v>107</v>
      </c>
      <c r="G92" s="95">
        <f t="shared" si="18"/>
        <v>-267.94366197183024</v>
      </c>
      <c r="H92" s="71">
        <v>0</v>
      </c>
      <c r="I92" s="71">
        <v>0</v>
      </c>
      <c r="J92" s="71">
        <v>0</v>
      </c>
      <c r="K92" s="71">
        <v>0</v>
      </c>
      <c r="L92" s="96">
        <f t="shared" si="28"/>
        <v>737591.31866890797</v>
      </c>
      <c r="M92" s="96">
        <v>0</v>
      </c>
      <c r="N92" s="96">
        <f t="shared" si="29"/>
        <v>737591.31866890797</v>
      </c>
      <c r="O92" s="96">
        <f t="shared" si="35"/>
        <v>1475182.6373378159</v>
      </c>
      <c r="P92" s="96">
        <f t="shared" si="19"/>
        <v>0</v>
      </c>
      <c r="Q92" s="97">
        <f t="shared" si="30"/>
        <v>-0.39843267546634248</v>
      </c>
      <c r="R92" s="97">
        <f t="shared" si="31"/>
        <v>0</v>
      </c>
      <c r="S92" s="71">
        <f t="shared" si="32"/>
        <v>0</v>
      </c>
      <c r="T92" s="98">
        <f t="shared" si="20"/>
        <v>0</v>
      </c>
      <c r="U92" s="99">
        <f t="shared" si="21"/>
        <v>0</v>
      </c>
      <c r="V92" s="93" t="str">
        <f t="shared" si="33"/>
        <v>SI</v>
      </c>
      <c r="W92" s="95">
        <f t="shared" si="22"/>
        <v>-1475.182637337816</v>
      </c>
      <c r="X92" s="95">
        <f t="shared" si="23"/>
        <v>0</v>
      </c>
      <c r="Y92" s="95">
        <f t="shared" si="24"/>
        <v>0</v>
      </c>
      <c r="Z92" s="95">
        <f t="shared" si="25"/>
        <v>1475.182637337816</v>
      </c>
      <c r="AA92" s="93" t="str">
        <f t="shared" si="34"/>
        <v/>
      </c>
      <c r="AB92" s="100"/>
      <c r="AC92" s="71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</row>
    <row r="93" spans="1:46" ht="18.75" x14ac:dyDescent="0.25">
      <c r="A93" s="39"/>
      <c r="B93" s="39"/>
      <c r="C93" s="93" t="s">
        <v>107</v>
      </c>
      <c r="D93" s="94">
        <f t="shared" si="26"/>
        <v>6.7500000000000004E-2</v>
      </c>
      <c r="E93" s="94">
        <f t="shared" si="27"/>
        <v>2.2159756097560941E-2</v>
      </c>
      <c r="F93" s="93" t="s">
        <v>107</v>
      </c>
      <c r="G93" s="95">
        <f t="shared" si="18"/>
        <v>-255.1111111111104</v>
      </c>
      <c r="H93" s="71">
        <v>0</v>
      </c>
      <c r="I93" s="71">
        <v>0</v>
      </c>
      <c r="J93" s="71">
        <v>0</v>
      </c>
      <c r="K93" s="71">
        <v>0</v>
      </c>
      <c r="L93" s="96">
        <f t="shared" si="28"/>
        <v>737591.31866890797</v>
      </c>
      <c r="M93" s="96">
        <v>0</v>
      </c>
      <c r="N93" s="96">
        <f t="shared" si="29"/>
        <v>737591.31866890797</v>
      </c>
      <c r="O93" s="96">
        <f t="shared" si="35"/>
        <v>1475182.6373378159</v>
      </c>
      <c r="P93" s="96">
        <f t="shared" si="19"/>
        <v>0</v>
      </c>
      <c r="Q93" s="97">
        <f t="shared" si="30"/>
        <v>-0.39843267546634248</v>
      </c>
      <c r="R93" s="97">
        <f t="shared" si="31"/>
        <v>0</v>
      </c>
      <c r="S93" s="71">
        <f t="shared" si="32"/>
        <v>0</v>
      </c>
      <c r="T93" s="98">
        <f t="shared" si="20"/>
        <v>0</v>
      </c>
      <c r="U93" s="99">
        <f t="shared" si="21"/>
        <v>0</v>
      </c>
      <c r="V93" s="93" t="str">
        <f t="shared" si="33"/>
        <v>SI</v>
      </c>
      <c r="W93" s="95">
        <f t="shared" si="22"/>
        <v>-1475.182637337816</v>
      </c>
      <c r="X93" s="95">
        <f t="shared" si="23"/>
        <v>0</v>
      </c>
      <c r="Y93" s="95">
        <f t="shared" si="24"/>
        <v>0</v>
      </c>
      <c r="Z93" s="95">
        <f t="shared" si="25"/>
        <v>1475.182637337816</v>
      </c>
      <c r="AA93" s="93" t="str">
        <f t="shared" si="34"/>
        <v/>
      </c>
      <c r="AB93" s="100"/>
      <c r="AC93" s="71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</row>
    <row r="94" spans="1:46" ht="18.75" x14ac:dyDescent="0.25">
      <c r="A94" s="39"/>
      <c r="B94" s="39"/>
      <c r="C94" s="93" t="s">
        <v>107</v>
      </c>
      <c r="D94" s="94">
        <f t="shared" si="26"/>
        <v>6.7500000000000004E-2</v>
      </c>
      <c r="E94" s="94">
        <f t="shared" si="27"/>
        <v>2.1530030487804844E-2</v>
      </c>
      <c r="F94" s="93" t="s">
        <v>107</v>
      </c>
      <c r="G94" s="95">
        <f t="shared" si="18"/>
        <v>-242.63013698630067</v>
      </c>
      <c r="H94" s="71">
        <v>0</v>
      </c>
      <c r="I94" s="71">
        <v>0</v>
      </c>
      <c r="J94" s="71">
        <v>0</v>
      </c>
      <c r="K94" s="71">
        <v>0</v>
      </c>
      <c r="L94" s="96">
        <f t="shared" si="28"/>
        <v>737591.31866890797</v>
      </c>
      <c r="M94" s="96">
        <v>0</v>
      </c>
      <c r="N94" s="96">
        <f t="shared" si="29"/>
        <v>737591.31866890797</v>
      </c>
      <c r="O94" s="96">
        <f t="shared" si="35"/>
        <v>1475182.6373378159</v>
      </c>
      <c r="P94" s="96">
        <f t="shared" si="19"/>
        <v>0</v>
      </c>
      <c r="Q94" s="97">
        <f t="shared" si="30"/>
        <v>-0.39843267546634248</v>
      </c>
      <c r="R94" s="97">
        <f t="shared" si="31"/>
        <v>0</v>
      </c>
      <c r="S94" s="71">
        <f t="shared" si="32"/>
        <v>0</v>
      </c>
      <c r="T94" s="98">
        <f t="shared" si="20"/>
        <v>0</v>
      </c>
      <c r="U94" s="99">
        <f t="shared" si="21"/>
        <v>0</v>
      </c>
      <c r="V94" s="93" t="str">
        <f t="shared" si="33"/>
        <v>SI</v>
      </c>
      <c r="W94" s="95">
        <f t="shared" si="22"/>
        <v>-1475.182637337816</v>
      </c>
      <c r="X94" s="95">
        <f t="shared" si="23"/>
        <v>0</v>
      </c>
      <c r="Y94" s="95">
        <f t="shared" si="24"/>
        <v>0</v>
      </c>
      <c r="Z94" s="95">
        <f t="shared" si="25"/>
        <v>1475.182637337816</v>
      </c>
      <c r="AA94" s="93" t="str">
        <f t="shared" si="34"/>
        <v/>
      </c>
      <c r="AB94" s="100"/>
      <c r="AC94" s="71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</row>
    <row r="95" spans="1:46" ht="18.75" x14ac:dyDescent="0.25">
      <c r="A95" s="39"/>
      <c r="B95" s="39"/>
      <c r="C95" s="93" t="s">
        <v>107</v>
      </c>
      <c r="D95" s="94">
        <f t="shared" si="26"/>
        <v>6.7500000000000004E-2</v>
      </c>
      <c r="E95" s="94">
        <f t="shared" si="27"/>
        <v>2.0900304878048746E-2</v>
      </c>
      <c r="F95" s="93" t="s">
        <v>107</v>
      </c>
      <c r="G95" s="95">
        <f t="shared" si="18"/>
        <v>-230.4864864864858</v>
      </c>
      <c r="H95" s="71">
        <v>0</v>
      </c>
      <c r="I95" s="71">
        <v>0</v>
      </c>
      <c r="J95" s="71">
        <v>0</v>
      </c>
      <c r="K95" s="71">
        <v>0</v>
      </c>
      <c r="L95" s="96">
        <f t="shared" si="28"/>
        <v>737591.31866890797</v>
      </c>
      <c r="M95" s="96">
        <v>0</v>
      </c>
      <c r="N95" s="96">
        <f t="shared" si="29"/>
        <v>737591.31866890797</v>
      </c>
      <c r="O95" s="96">
        <f t="shared" si="35"/>
        <v>1475182.6373378159</v>
      </c>
      <c r="P95" s="96">
        <f t="shared" si="19"/>
        <v>0</v>
      </c>
      <c r="Q95" s="97">
        <f t="shared" si="30"/>
        <v>-0.39843267546634248</v>
      </c>
      <c r="R95" s="97">
        <f t="shared" si="31"/>
        <v>0</v>
      </c>
      <c r="S95" s="71">
        <f t="shared" si="32"/>
        <v>0</v>
      </c>
      <c r="T95" s="98">
        <f t="shared" si="20"/>
        <v>0</v>
      </c>
      <c r="U95" s="99">
        <f t="shared" si="21"/>
        <v>0</v>
      </c>
      <c r="V95" s="93" t="str">
        <f t="shared" si="33"/>
        <v>SI</v>
      </c>
      <c r="W95" s="95">
        <f t="shared" si="22"/>
        <v>-1475.182637337816</v>
      </c>
      <c r="X95" s="95">
        <f t="shared" si="23"/>
        <v>0</v>
      </c>
      <c r="Y95" s="95">
        <f t="shared" si="24"/>
        <v>0</v>
      </c>
      <c r="Z95" s="95">
        <f t="shared" si="25"/>
        <v>1475.182637337816</v>
      </c>
      <c r="AA95" s="93" t="str">
        <f t="shared" si="34"/>
        <v/>
      </c>
      <c r="AB95" s="100"/>
      <c r="AC95" s="71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</row>
    <row r="96" spans="1:46" ht="18.75" x14ac:dyDescent="0.25">
      <c r="A96" s="39"/>
      <c r="B96" s="39"/>
      <c r="C96" s="93" t="s">
        <v>107</v>
      </c>
      <c r="D96" s="94">
        <f t="shared" si="26"/>
        <v>6.7500000000000004E-2</v>
      </c>
      <c r="E96" s="94">
        <f t="shared" si="27"/>
        <v>2.0270579268292649E-2</v>
      </c>
      <c r="F96" s="93" t="s">
        <v>107</v>
      </c>
      <c r="G96" s="95">
        <f t="shared" si="18"/>
        <v>-218.666666666666</v>
      </c>
      <c r="H96" s="71">
        <v>0</v>
      </c>
      <c r="I96" s="71">
        <v>0</v>
      </c>
      <c r="J96" s="71">
        <v>0</v>
      </c>
      <c r="K96" s="71">
        <v>0</v>
      </c>
      <c r="L96" s="96">
        <f t="shared" si="28"/>
        <v>737591.31866890797</v>
      </c>
      <c r="M96" s="96">
        <v>0</v>
      </c>
      <c r="N96" s="96">
        <f t="shared" si="29"/>
        <v>737591.31866890797</v>
      </c>
      <c r="O96" s="96">
        <f t="shared" si="35"/>
        <v>1475182.6373378159</v>
      </c>
      <c r="P96" s="96">
        <f t="shared" si="19"/>
        <v>0</v>
      </c>
      <c r="Q96" s="97">
        <f t="shared" si="30"/>
        <v>-0.39843267546634248</v>
      </c>
      <c r="R96" s="97">
        <f t="shared" si="31"/>
        <v>0</v>
      </c>
      <c r="S96" s="71">
        <f t="shared" si="32"/>
        <v>0</v>
      </c>
      <c r="T96" s="98">
        <f t="shared" si="20"/>
        <v>0</v>
      </c>
      <c r="U96" s="99">
        <f t="shared" si="21"/>
        <v>0</v>
      </c>
      <c r="V96" s="93" t="str">
        <f t="shared" si="33"/>
        <v>SI</v>
      </c>
      <c r="W96" s="95">
        <f t="shared" si="22"/>
        <v>-1475.182637337816</v>
      </c>
      <c r="X96" s="95">
        <f t="shared" si="23"/>
        <v>0</v>
      </c>
      <c r="Y96" s="95">
        <f t="shared" si="24"/>
        <v>0</v>
      </c>
      <c r="Z96" s="95">
        <f t="shared" si="25"/>
        <v>1475.182637337816</v>
      </c>
      <c r="AA96" s="93" t="str">
        <f t="shared" si="34"/>
        <v/>
      </c>
      <c r="AB96" s="100"/>
      <c r="AC96" s="71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</row>
    <row r="97" spans="1:46" ht="18.75" x14ac:dyDescent="0.25">
      <c r="A97" s="39"/>
      <c r="B97" s="39"/>
      <c r="C97" s="93" t="s">
        <v>107</v>
      </c>
      <c r="D97" s="94">
        <f t="shared" si="26"/>
        <v>6.7500000000000004E-2</v>
      </c>
      <c r="E97" s="94">
        <f t="shared" si="27"/>
        <v>1.9640853658536551E-2</v>
      </c>
      <c r="F97" s="93" t="s">
        <v>107</v>
      </c>
      <c r="G97" s="95">
        <f t="shared" si="18"/>
        <v>-207.15789473684146</v>
      </c>
      <c r="H97" s="71">
        <v>0</v>
      </c>
      <c r="I97" s="71">
        <v>0</v>
      </c>
      <c r="J97" s="71">
        <v>0</v>
      </c>
      <c r="K97" s="71">
        <v>0</v>
      </c>
      <c r="L97" s="96">
        <f t="shared" si="28"/>
        <v>737591.31866890797</v>
      </c>
      <c r="M97" s="96">
        <v>0</v>
      </c>
      <c r="N97" s="96">
        <f t="shared" si="29"/>
        <v>737591.31866890797</v>
      </c>
      <c r="O97" s="96">
        <f t="shared" si="35"/>
        <v>1475182.6373378159</v>
      </c>
      <c r="P97" s="96">
        <f t="shared" si="19"/>
        <v>0</v>
      </c>
      <c r="Q97" s="97">
        <f t="shared" si="30"/>
        <v>-0.39843267546634248</v>
      </c>
      <c r="R97" s="97">
        <f t="shared" si="31"/>
        <v>0</v>
      </c>
      <c r="S97" s="71">
        <f t="shared" si="32"/>
        <v>0</v>
      </c>
      <c r="T97" s="98">
        <f t="shared" si="20"/>
        <v>0</v>
      </c>
      <c r="U97" s="99">
        <f t="shared" si="21"/>
        <v>0</v>
      </c>
      <c r="V97" s="93" t="str">
        <f t="shared" si="33"/>
        <v>SI</v>
      </c>
      <c r="W97" s="95">
        <f t="shared" si="22"/>
        <v>-1475.182637337816</v>
      </c>
      <c r="X97" s="95">
        <f t="shared" si="23"/>
        <v>0</v>
      </c>
      <c r="Y97" s="95">
        <f t="shared" si="24"/>
        <v>0</v>
      </c>
      <c r="Z97" s="95">
        <f t="shared" si="25"/>
        <v>1475.182637337816</v>
      </c>
      <c r="AA97" s="93" t="str">
        <f t="shared" si="34"/>
        <v/>
      </c>
      <c r="AB97" s="100"/>
      <c r="AC97" s="71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</row>
    <row r="98" spans="1:46" ht="18.75" x14ac:dyDescent="0.25">
      <c r="A98" s="39"/>
      <c r="B98" s="39"/>
      <c r="C98" s="93" t="s">
        <v>107</v>
      </c>
      <c r="D98" s="94">
        <f t="shared" si="26"/>
        <v>6.7500000000000004E-2</v>
      </c>
      <c r="E98" s="94">
        <f t="shared" si="27"/>
        <v>1.9011128048780454E-2</v>
      </c>
      <c r="F98" s="93" t="s">
        <v>107</v>
      </c>
      <c r="G98" s="95">
        <f t="shared" si="18"/>
        <v>-195.94805194805133</v>
      </c>
      <c r="H98" s="71">
        <v>0</v>
      </c>
      <c r="I98" s="71">
        <v>0</v>
      </c>
      <c r="J98" s="71">
        <v>0</v>
      </c>
      <c r="K98" s="71">
        <v>0</v>
      </c>
      <c r="L98" s="96">
        <f t="shared" si="28"/>
        <v>737591.31866890797</v>
      </c>
      <c r="M98" s="96">
        <v>0</v>
      </c>
      <c r="N98" s="96">
        <f t="shared" si="29"/>
        <v>737591.31866890797</v>
      </c>
      <c r="O98" s="96">
        <f t="shared" si="35"/>
        <v>1475182.6373378159</v>
      </c>
      <c r="P98" s="96">
        <f t="shared" si="19"/>
        <v>0</v>
      </c>
      <c r="Q98" s="97">
        <f t="shared" si="30"/>
        <v>-0.39843267546634248</v>
      </c>
      <c r="R98" s="97">
        <f t="shared" si="31"/>
        <v>0</v>
      </c>
      <c r="S98" s="71">
        <f t="shared" si="32"/>
        <v>0</v>
      </c>
      <c r="T98" s="98">
        <f t="shared" si="20"/>
        <v>0</v>
      </c>
      <c r="U98" s="99">
        <f t="shared" si="21"/>
        <v>0</v>
      </c>
      <c r="V98" s="93" t="str">
        <f t="shared" si="33"/>
        <v>SI</v>
      </c>
      <c r="W98" s="95">
        <f t="shared" si="22"/>
        <v>-1475.182637337816</v>
      </c>
      <c r="X98" s="95">
        <f t="shared" si="23"/>
        <v>0</v>
      </c>
      <c r="Y98" s="95">
        <f t="shared" si="24"/>
        <v>0</v>
      </c>
      <c r="Z98" s="95">
        <f t="shared" si="25"/>
        <v>1475.182637337816</v>
      </c>
      <c r="AA98" s="93" t="str">
        <f t="shared" si="34"/>
        <v/>
      </c>
      <c r="AB98" s="100"/>
      <c r="AC98" s="71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</row>
    <row r="99" spans="1:46" ht="18.75" x14ac:dyDescent="0.25">
      <c r="A99" s="39"/>
      <c r="B99" s="39"/>
      <c r="C99" s="93" t="s">
        <v>107</v>
      </c>
      <c r="D99" s="94">
        <f t="shared" si="26"/>
        <v>6.7500000000000004E-2</v>
      </c>
      <c r="E99" s="94">
        <f t="shared" si="27"/>
        <v>1.8381402439024357E-2</v>
      </c>
      <c r="F99" s="93" t="s">
        <v>107</v>
      </c>
      <c r="G99" s="95">
        <f t="shared" si="18"/>
        <v>-185.02564102564043</v>
      </c>
      <c r="H99" s="71">
        <v>0</v>
      </c>
      <c r="I99" s="71">
        <v>0</v>
      </c>
      <c r="J99" s="71">
        <v>0</v>
      </c>
      <c r="K99" s="71">
        <v>0</v>
      </c>
      <c r="L99" s="96">
        <f t="shared" si="28"/>
        <v>737591.31866890797</v>
      </c>
      <c r="M99" s="96">
        <v>0</v>
      </c>
      <c r="N99" s="96">
        <f t="shared" si="29"/>
        <v>737591.31866890797</v>
      </c>
      <c r="O99" s="96">
        <f t="shared" si="35"/>
        <v>1475182.6373378159</v>
      </c>
      <c r="P99" s="96">
        <f t="shared" si="19"/>
        <v>0</v>
      </c>
      <c r="Q99" s="97">
        <f t="shared" si="30"/>
        <v>-0.39843267546634248</v>
      </c>
      <c r="R99" s="97">
        <f t="shared" si="31"/>
        <v>0</v>
      </c>
      <c r="S99" s="71">
        <f t="shared" si="32"/>
        <v>0</v>
      </c>
      <c r="T99" s="98">
        <f t="shared" si="20"/>
        <v>0</v>
      </c>
      <c r="U99" s="99">
        <f t="shared" si="21"/>
        <v>0</v>
      </c>
      <c r="V99" s="93" t="str">
        <f t="shared" si="33"/>
        <v>SI</v>
      </c>
      <c r="W99" s="95">
        <f t="shared" si="22"/>
        <v>-1475.182637337816</v>
      </c>
      <c r="X99" s="95">
        <f t="shared" si="23"/>
        <v>0</v>
      </c>
      <c r="Y99" s="95">
        <f t="shared" si="24"/>
        <v>0</v>
      </c>
      <c r="Z99" s="95">
        <f t="shared" si="25"/>
        <v>1475.182637337816</v>
      </c>
      <c r="AA99" s="93" t="str">
        <f t="shared" si="34"/>
        <v/>
      </c>
      <c r="AB99" s="100"/>
      <c r="AC99" s="71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</row>
    <row r="100" spans="1:46" ht="18.75" x14ac:dyDescent="0.25">
      <c r="A100" s="39"/>
      <c r="B100" s="39"/>
      <c r="C100" s="93" t="s">
        <v>107</v>
      </c>
      <c r="D100" s="94">
        <f t="shared" si="26"/>
        <v>6.7500000000000004E-2</v>
      </c>
      <c r="E100" s="94">
        <f t="shared" si="27"/>
        <v>1.7751676829268259E-2</v>
      </c>
      <c r="F100" s="93" t="s">
        <v>107</v>
      </c>
      <c r="G100" s="95">
        <f t="shared" si="18"/>
        <v>-174.37974683544246</v>
      </c>
      <c r="H100" s="71">
        <v>0</v>
      </c>
      <c r="I100" s="71">
        <v>0</v>
      </c>
      <c r="J100" s="71">
        <v>0</v>
      </c>
      <c r="K100" s="71">
        <v>0</v>
      </c>
      <c r="L100" s="96">
        <f t="shared" si="28"/>
        <v>737591.31866890797</v>
      </c>
      <c r="M100" s="96">
        <v>0</v>
      </c>
      <c r="N100" s="96">
        <f t="shared" si="29"/>
        <v>737591.31866890797</v>
      </c>
      <c r="O100" s="96">
        <f t="shared" si="35"/>
        <v>1475182.6373378159</v>
      </c>
      <c r="P100" s="96">
        <f t="shared" si="19"/>
        <v>0</v>
      </c>
      <c r="Q100" s="97">
        <f t="shared" si="30"/>
        <v>-0.39843267546634248</v>
      </c>
      <c r="R100" s="97">
        <f t="shared" si="31"/>
        <v>0</v>
      </c>
      <c r="S100" s="71">
        <f t="shared" si="32"/>
        <v>0</v>
      </c>
      <c r="T100" s="98">
        <f t="shared" si="20"/>
        <v>0</v>
      </c>
      <c r="U100" s="99">
        <f t="shared" si="21"/>
        <v>0</v>
      </c>
      <c r="V100" s="93" t="str">
        <f t="shared" si="33"/>
        <v>SI</v>
      </c>
      <c r="W100" s="95">
        <f t="shared" si="22"/>
        <v>-1475.182637337816</v>
      </c>
      <c r="X100" s="95">
        <f t="shared" si="23"/>
        <v>0</v>
      </c>
      <c r="Y100" s="95">
        <f t="shared" si="24"/>
        <v>0</v>
      </c>
      <c r="Z100" s="95">
        <f t="shared" si="25"/>
        <v>1475.182637337816</v>
      </c>
      <c r="AA100" s="93" t="str">
        <f t="shared" si="34"/>
        <v/>
      </c>
      <c r="AB100" s="100"/>
      <c r="AC100" s="71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</row>
    <row r="101" spans="1:46" ht="18.75" x14ac:dyDescent="0.25">
      <c r="A101" s="39"/>
      <c r="B101" s="39"/>
      <c r="C101" s="93" t="s">
        <v>107</v>
      </c>
      <c r="D101" s="94">
        <f t="shared" si="26"/>
        <v>6.7500000000000004E-2</v>
      </c>
      <c r="E101" s="94">
        <f t="shared" si="27"/>
        <v>1.7121951219512162E-2</v>
      </c>
      <c r="F101" s="93" t="s">
        <v>107</v>
      </c>
      <c r="G101" s="95">
        <f t="shared" si="18"/>
        <v>-163.99999999999943</v>
      </c>
      <c r="H101" s="71">
        <v>0</v>
      </c>
      <c r="I101" s="71">
        <v>0</v>
      </c>
      <c r="J101" s="71">
        <v>0</v>
      </c>
      <c r="K101" s="71">
        <v>0</v>
      </c>
      <c r="L101" s="96">
        <f t="shared" si="28"/>
        <v>737591.31866890797</v>
      </c>
      <c r="M101" s="96">
        <v>0</v>
      </c>
      <c r="N101" s="96">
        <f t="shared" si="29"/>
        <v>737591.31866890797</v>
      </c>
      <c r="O101" s="96">
        <f t="shared" si="35"/>
        <v>1475182.6373378159</v>
      </c>
      <c r="P101" s="96">
        <f t="shared" si="19"/>
        <v>0</v>
      </c>
      <c r="Q101" s="97">
        <f t="shared" si="30"/>
        <v>-0.39843267546634248</v>
      </c>
      <c r="R101" s="97">
        <f t="shared" si="31"/>
        <v>0</v>
      </c>
      <c r="S101" s="71">
        <f t="shared" si="32"/>
        <v>0</v>
      </c>
      <c r="T101" s="98">
        <f t="shared" si="20"/>
        <v>0</v>
      </c>
      <c r="U101" s="99">
        <f t="shared" si="21"/>
        <v>0</v>
      </c>
      <c r="V101" s="93" t="str">
        <f t="shared" si="33"/>
        <v>SI</v>
      </c>
      <c r="W101" s="95">
        <f t="shared" si="22"/>
        <v>-1475.182637337816</v>
      </c>
      <c r="X101" s="95">
        <f t="shared" si="23"/>
        <v>0</v>
      </c>
      <c r="Y101" s="95">
        <f t="shared" si="24"/>
        <v>0</v>
      </c>
      <c r="Z101" s="95">
        <f t="shared" si="25"/>
        <v>1475.182637337816</v>
      </c>
      <c r="AA101" s="93" t="str">
        <f t="shared" si="34"/>
        <v/>
      </c>
      <c r="AB101" s="100"/>
      <c r="AC101" s="71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</row>
    <row r="102" spans="1:46" ht="18.75" x14ac:dyDescent="0.25">
      <c r="A102" s="39"/>
      <c r="B102" s="39"/>
      <c r="C102" s="93" t="s">
        <v>107</v>
      </c>
      <c r="D102" s="94">
        <f t="shared" si="26"/>
        <v>6.7500000000000004E-2</v>
      </c>
      <c r="E102" s="94">
        <f t="shared" si="27"/>
        <v>1.6492225609756064E-2</v>
      </c>
      <c r="F102" s="93" t="s">
        <v>107</v>
      </c>
      <c r="G102" s="95">
        <f t="shared" si="18"/>
        <v>-153.87654320987599</v>
      </c>
      <c r="H102" s="71">
        <v>0</v>
      </c>
      <c r="I102" s="71">
        <v>0</v>
      </c>
      <c r="J102" s="71">
        <v>0</v>
      </c>
      <c r="K102" s="71">
        <v>0</v>
      </c>
      <c r="L102" s="96">
        <f t="shared" si="28"/>
        <v>737591.31866890797</v>
      </c>
      <c r="M102" s="96">
        <v>0</v>
      </c>
      <c r="N102" s="96">
        <f t="shared" si="29"/>
        <v>737591.31866890797</v>
      </c>
      <c r="O102" s="96">
        <f t="shared" si="35"/>
        <v>1475182.6373378159</v>
      </c>
      <c r="P102" s="96">
        <f t="shared" si="19"/>
        <v>0</v>
      </c>
      <c r="Q102" s="97">
        <f t="shared" si="30"/>
        <v>-0.39843267546634248</v>
      </c>
      <c r="R102" s="97">
        <f t="shared" si="31"/>
        <v>0</v>
      </c>
      <c r="S102" s="71">
        <f t="shared" si="32"/>
        <v>0</v>
      </c>
      <c r="T102" s="98">
        <f t="shared" si="20"/>
        <v>0</v>
      </c>
      <c r="U102" s="99">
        <f t="shared" si="21"/>
        <v>0</v>
      </c>
      <c r="V102" s="93" t="str">
        <f t="shared" si="33"/>
        <v>SI</v>
      </c>
      <c r="W102" s="95">
        <f t="shared" si="22"/>
        <v>-1475.182637337816</v>
      </c>
      <c r="X102" s="95">
        <f t="shared" si="23"/>
        <v>0</v>
      </c>
      <c r="Y102" s="95">
        <f t="shared" si="24"/>
        <v>0</v>
      </c>
      <c r="Z102" s="95">
        <f t="shared" si="25"/>
        <v>1475.182637337816</v>
      </c>
      <c r="AA102" s="93" t="str">
        <f t="shared" si="34"/>
        <v/>
      </c>
      <c r="AB102" s="100"/>
      <c r="AC102" s="71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</row>
    <row r="103" spans="1:46" ht="18.75" x14ac:dyDescent="0.25">
      <c r="A103" s="39"/>
      <c r="B103" s="39"/>
      <c r="C103" s="93" t="s">
        <v>107</v>
      </c>
      <c r="D103" s="94">
        <f t="shared" si="26"/>
        <v>6.7500000000000004E-2</v>
      </c>
      <c r="E103" s="94">
        <f t="shared" si="27"/>
        <v>1.5862499999999967E-2</v>
      </c>
      <c r="F103" s="93" t="s">
        <v>107</v>
      </c>
      <c r="G103" s="95">
        <f t="shared" si="18"/>
        <v>-143.99999999999946</v>
      </c>
      <c r="H103" s="71">
        <v>0</v>
      </c>
      <c r="I103" s="71">
        <v>0</v>
      </c>
      <c r="J103" s="71">
        <v>0</v>
      </c>
      <c r="K103" s="71">
        <v>0</v>
      </c>
      <c r="L103" s="96">
        <f t="shared" si="28"/>
        <v>737591.31866890797</v>
      </c>
      <c r="M103" s="96">
        <v>0</v>
      </c>
      <c r="N103" s="96">
        <f t="shared" si="29"/>
        <v>737591.31866890797</v>
      </c>
      <c r="O103" s="96">
        <f t="shared" si="35"/>
        <v>1475182.6373378159</v>
      </c>
      <c r="P103" s="96">
        <f t="shared" si="19"/>
        <v>0</v>
      </c>
      <c r="Q103" s="97">
        <f t="shared" si="30"/>
        <v>-0.39843267546634248</v>
      </c>
      <c r="R103" s="97">
        <f t="shared" si="31"/>
        <v>0</v>
      </c>
      <c r="S103" s="71">
        <f t="shared" si="32"/>
        <v>0</v>
      </c>
      <c r="T103" s="98">
        <f t="shared" si="20"/>
        <v>0</v>
      </c>
      <c r="U103" s="99">
        <f t="shared" si="21"/>
        <v>0</v>
      </c>
      <c r="V103" s="93" t="str">
        <f t="shared" si="33"/>
        <v>SI</v>
      </c>
      <c r="W103" s="95">
        <f t="shared" si="22"/>
        <v>-1475.182637337816</v>
      </c>
      <c r="X103" s="95">
        <f t="shared" si="23"/>
        <v>0</v>
      </c>
      <c r="Y103" s="95">
        <f t="shared" si="24"/>
        <v>0</v>
      </c>
      <c r="Z103" s="95">
        <f t="shared" si="25"/>
        <v>1475.182637337816</v>
      </c>
      <c r="AA103" s="93" t="str">
        <f t="shared" si="34"/>
        <v/>
      </c>
      <c r="AB103" s="100"/>
      <c r="AC103" s="71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</row>
    <row r="104" spans="1:46" ht="18.75" x14ac:dyDescent="0.25">
      <c r="A104" s="39"/>
      <c r="B104" s="39"/>
      <c r="C104" s="93" t="s">
        <v>107</v>
      </c>
      <c r="D104" s="94">
        <f t="shared" si="26"/>
        <v>6.7500000000000004E-2</v>
      </c>
      <c r="E104" s="94">
        <f t="shared" si="27"/>
        <v>1.5232774390243869E-2</v>
      </c>
      <c r="F104" s="93" t="s">
        <v>107</v>
      </c>
      <c r="G104" s="95">
        <f t="shared" si="18"/>
        <v>-134.36144578313201</v>
      </c>
      <c r="H104" s="71">
        <v>0</v>
      </c>
      <c r="I104" s="71">
        <v>0</v>
      </c>
      <c r="J104" s="71">
        <v>0</v>
      </c>
      <c r="K104" s="71">
        <v>0</v>
      </c>
      <c r="L104" s="96">
        <f t="shared" si="28"/>
        <v>737591.31866890797</v>
      </c>
      <c r="M104" s="96">
        <v>0</v>
      </c>
      <c r="N104" s="96">
        <f t="shared" si="29"/>
        <v>737591.31866890797</v>
      </c>
      <c r="O104" s="96">
        <f t="shared" si="35"/>
        <v>1475182.6373378159</v>
      </c>
      <c r="P104" s="96">
        <f t="shared" si="19"/>
        <v>0</v>
      </c>
      <c r="Q104" s="97">
        <f t="shared" si="30"/>
        <v>-0.39843267546634248</v>
      </c>
      <c r="R104" s="97">
        <f t="shared" si="31"/>
        <v>0</v>
      </c>
      <c r="S104" s="71">
        <f t="shared" si="32"/>
        <v>0</v>
      </c>
      <c r="T104" s="98">
        <f t="shared" si="20"/>
        <v>0</v>
      </c>
      <c r="U104" s="99">
        <f t="shared" si="21"/>
        <v>0</v>
      </c>
      <c r="V104" s="93" t="str">
        <f t="shared" si="33"/>
        <v>SI</v>
      </c>
      <c r="W104" s="95">
        <f t="shared" si="22"/>
        <v>-1475.182637337816</v>
      </c>
      <c r="X104" s="95">
        <f t="shared" si="23"/>
        <v>0</v>
      </c>
      <c r="Y104" s="95">
        <f t="shared" si="24"/>
        <v>0</v>
      </c>
      <c r="Z104" s="95">
        <f t="shared" si="25"/>
        <v>1475.182637337816</v>
      </c>
      <c r="AA104" s="93" t="str">
        <f t="shared" si="34"/>
        <v/>
      </c>
      <c r="AB104" s="100"/>
      <c r="AC104" s="71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</row>
    <row r="105" spans="1:46" ht="18.75" x14ac:dyDescent="0.25">
      <c r="A105" s="39"/>
      <c r="B105" s="39"/>
      <c r="C105" s="93" t="s">
        <v>107</v>
      </c>
      <c r="D105" s="94">
        <f t="shared" si="26"/>
        <v>6.7500000000000004E-2</v>
      </c>
      <c r="E105" s="94">
        <f t="shared" si="27"/>
        <v>1.4603048780487772E-2</v>
      </c>
      <c r="F105" s="93" t="s">
        <v>107</v>
      </c>
      <c r="G105" s="95">
        <f t="shared" si="18"/>
        <v>-124.95238095238044</v>
      </c>
      <c r="H105" s="71">
        <v>0</v>
      </c>
      <c r="I105" s="71">
        <v>0</v>
      </c>
      <c r="J105" s="71">
        <v>0</v>
      </c>
      <c r="K105" s="71">
        <v>0</v>
      </c>
      <c r="L105" s="96">
        <f t="shared" si="28"/>
        <v>737591.31866890797</v>
      </c>
      <c r="M105" s="96">
        <v>0</v>
      </c>
      <c r="N105" s="96">
        <f t="shared" si="29"/>
        <v>737591.31866890797</v>
      </c>
      <c r="O105" s="96">
        <f t="shared" si="35"/>
        <v>1475182.6373378159</v>
      </c>
      <c r="P105" s="96">
        <f t="shared" si="19"/>
        <v>0</v>
      </c>
      <c r="Q105" s="97">
        <f t="shared" si="30"/>
        <v>-0.39843267546634248</v>
      </c>
      <c r="R105" s="97">
        <f t="shared" si="31"/>
        <v>0</v>
      </c>
      <c r="S105" s="71">
        <f t="shared" si="32"/>
        <v>0</v>
      </c>
      <c r="T105" s="98">
        <f t="shared" si="20"/>
        <v>0</v>
      </c>
      <c r="U105" s="99">
        <f t="shared" si="21"/>
        <v>0</v>
      </c>
      <c r="V105" s="93" t="str">
        <f t="shared" si="33"/>
        <v>SI</v>
      </c>
      <c r="W105" s="95">
        <f t="shared" si="22"/>
        <v>-1475.182637337816</v>
      </c>
      <c r="X105" s="95">
        <f t="shared" si="23"/>
        <v>0</v>
      </c>
      <c r="Y105" s="95">
        <f t="shared" si="24"/>
        <v>0</v>
      </c>
      <c r="Z105" s="95">
        <f t="shared" si="25"/>
        <v>1475.182637337816</v>
      </c>
      <c r="AA105" s="93" t="str">
        <f t="shared" si="34"/>
        <v/>
      </c>
      <c r="AB105" s="100"/>
      <c r="AC105" s="71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</row>
    <row r="106" spans="1:46" ht="18.75" x14ac:dyDescent="0.25">
      <c r="A106" s="39"/>
      <c r="B106" s="39"/>
      <c r="C106" s="93" t="s">
        <v>107</v>
      </c>
      <c r="D106" s="94">
        <f t="shared" si="26"/>
        <v>6.7500000000000004E-2</v>
      </c>
      <c r="E106" s="94">
        <f t="shared" si="27"/>
        <v>1.3973323170731675E-2</v>
      </c>
      <c r="F106" s="93" t="s">
        <v>107</v>
      </c>
      <c r="G106" s="95">
        <f t="shared" si="18"/>
        <v>-115.76470588235243</v>
      </c>
      <c r="H106" s="71">
        <v>0</v>
      </c>
      <c r="I106" s="71">
        <v>0</v>
      </c>
      <c r="J106" s="71">
        <v>0</v>
      </c>
      <c r="K106" s="71">
        <v>0</v>
      </c>
      <c r="L106" s="96">
        <f t="shared" si="28"/>
        <v>737591.31866890797</v>
      </c>
      <c r="M106" s="96">
        <v>0</v>
      </c>
      <c r="N106" s="96">
        <f t="shared" si="29"/>
        <v>737591.31866890797</v>
      </c>
      <c r="O106" s="96">
        <f t="shared" si="35"/>
        <v>1475182.6373378159</v>
      </c>
      <c r="P106" s="96">
        <f t="shared" si="19"/>
        <v>0</v>
      </c>
      <c r="Q106" s="97">
        <f t="shared" si="30"/>
        <v>-0.39843267546634248</v>
      </c>
      <c r="R106" s="97">
        <f t="shared" si="31"/>
        <v>0</v>
      </c>
      <c r="S106" s="71">
        <f t="shared" si="32"/>
        <v>0</v>
      </c>
      <c r="T106" s="98">
        <f t="shared" si="20"/>
        <v>0</v>
      </c>
      <c r="U106" s="99">
        <f t="shared" si="21"/>
        <v>0</v>
      </c>
      <c r="V106" s="93" t="str">
        <f t="shared" si="33"/>
        <v>SI</v>
      </c>
      <c r="W106" s="95">
        <f t="shared" si="22"/>
        <v>-1475.182637337816</v>
      </c>
      <c r="X106" s="95">
        <f t="shared" si="23"/>
        <v>0</v>
      </c>
      <c r="Y106" s="95">
        <f t="shared" si="24"/>
        <v>0</v>
      </c>
      <c r="Z106" s="95">
        <f t="shared" si="25"/>
        <v>1475.182637337816</v>
      </c>
      <c r="AA106" s="93" t="str">
        <f t="shared" si="34"/>
        <v/>
      </c>
      <c r="AB106" s="100"/>
      <c r="AC106" s="71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</row>
    <row r="107" spans="1:46" ht="18.75" x14ac:dyDescent="0.25">
      <c r="A107" s="39"/>
      <c r="B107" s="39"/>
      <c r="C107" s="93" t="s">
        <v>107</v>
      </c>
      <c r="D107" s="94">
        <f t="shared" si="26"/>
        <v>6.7500000000000004E-2</v>
      </c>
      <c r="E107" s="94">
        <f t="shared" si="27"/>
        <v>1.3343597560975577E-2</v>
      </c>
      <c r="F107" s="93" t="s">
        <v>107</v>
      </c>
      <c r="G107" s="95">
        <f t="shared" si="18"/>
        <v>-106.79069767441811</v>
      </c>
      <c r="H107" s="71">
        <v>0</v>
      </c>
      <c r="I107" s="71">
        <v>0</v>
      </c>
      <c r="J107" s="71">
        <v>0</v>
      </c>
      <c r="K107" s="71">
        <v>0</v>
      </c>
      <c r="L107" s="96">
        <f t="shared" si="28"/>
        <v>737591.31866890797</v>
      </c>
      <c r="M107" s="96">
        <v>0</v>
      </c>
      <c r="N107" s="96">
        <f t="shared" si="29"/>
        <v>737591.31866890797</v>
      </c>
      <c r="O107" s="96">
        <f t="shared" si="35"/>
        <v>1475182.6373378159</v>
      </c>
      <c r="P107" s="96">
        <f t="shared" si="19"/>
        <v>0</v>
      </c>
      <c r="Q107" s="97">
        <f t="shared" si="30"/>
        <v>-0.39843267546634248</v>
      </c>
      <c r="R107" s="97">
        <f t="shared" si="31"/>
        <v>0</v>
      </c>
      <c r="S107" s="71">
        <f t="shared" si="32"/>
        <v>0</v>
      </c>
      <c r="T107" s="98">
        <f t="shared" si="20"/>
        <v>0</v>
      </c>
      <c r="U107" s="99">
        <f t="shared" si="21"/>
        <v>0</v>
      </c>
      <c r="V107" s="93" t="str">
        <f t="shared" si="33"/>
        <v>SI</v>
      </c>
      <c r="W107" s="95">
        <f t="shared" si="22"/>
        <v>-1475.182637337816</v>
      </c>
      <c r="X107" s="95">
        <f t="shared" si="23"/>
        <v>0</v>
      </c>
      <c r="Y107" s="95">
        <f t="shared" si="24"/>
        <v>0</v>
      </c>
      <c r="Z107" s="95">
        <f t="shared" si="25"/>
        <v>1475.182637337816</v>
      </c>
      <c r="AA107" s="93" t="str">
        <f t="shared" si="34"/>
        <v/>
      </c>
      <c r="AB107" s="100"/>
      <c r="AC107" s="71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</row>
    <row r="108" spans="1:46" ht="18.75" x14ac:dyDescent="0.25">
      <c r="A108" s="39"/>
      <c r="B108" s="39"/>
      <c r="C108" s="93" t="s">
        <v>107</v>
      </c>
      <c r="D108" s="94">
        <f t="shared" si="26"/>
        <v>6.7500000000000004E-2</v>
      </c>
      <c r="E108" s="94">
        <f t="shared" si="27"/>
        <v>1.271387195121948E-2</v>
      </c>
      <c r="F108" s="93" t="s">
        <v>107</v>
      </c>
      <c r="G108" s="95">
        <f t="shared" si="18"/>
        <v>-98.022988505746639</v>
      </c>
      <c r="H108" s="71">
        <v>0</v>
      </c>
      <c r="I108" s="71">
        <v>0</v>
      </c>
      <c r="J108" s="71">
        <v>0</v>
      </c>
      <c r="K108" s="71">
        <v>0</v>
      </c>
      <c r="L108" s="96">
        <f t="shared" si="28"/>
        <v>737591.31866890797</v>
      </c>
      <c r="M108" s="96">
        <v>0</v>
      </c>
      <c r="N108" s="96">
        <f t="shared" si="29"/>
        <v>737591.31866890797</v>
      </c>
      <c r="O108" s="96">
        <f t="shared" si="35"/>
        <v>1475182.6373378159</v>
      </c>
      <c r="P108" s="96">
        <f t="shared" si="19"/>
        <v>0</v>
      </c>
      <c r="Q108" s="97">
        <f t="shared" si="30"/>
        <v>-0.39843267546634248</v>
      </c>
      <c r="R108" s="97">
        <f t="shared" si="31"/>
        <v>0</v>
      </c>
      <c r="S108" s="71">
        <f t="shared" si="32"/>
        <v>0</v>
      </c>
      <c r="T108" s="98">
        <f t="shared" si="20"/>
        <v>0</v>
      </c>
      <c r="U108" s="99">
        <f t="shared" si="21"/>
        <v>0</v>
      </c>
      <c r="V108" s="93" t="str">
        <f t="shared" si="33"/>
        <v>SI</v>
      </c>
      <c r="W108" s="95">
        <f t="shared" si="22"/>
        <v>-1475.182637337816</v>
      </c>
      <c r="X108" s="95">
        <f t="shared" si="23"/>
        <v>0</v>
      </c>
      <c r="Y108" s="95">
        <f t="shared" si="24"/>
        <v>0</v>
      </c>
      <c r="Z108" s="95">
        <f t="shared" si="25"/>
        <v>1475.182637337816</v>
      </c>
      <c r="AA108" s="93" t="str">
        <f t="shared" si="34"/>
        <v/>
      </c>
      <c r="AB108" s="100"/>
      <c r="AC108" s="71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</row>
    <row r="109" spans="1:46" ht="18.75" x14ac:dyDescent="0.25">
      <c r="A109" s="39"/>
      <c r="B109" s="39"/>
      <c r="C109" s="93" t="s">
        <v>107</v>
      </c>
      <c r="D109" s="94">
        <f t="shared" si="26"/>
        <v>6.7500000000000004E-2</v>
      </c>
      <c r="E109" s="94">
        <f t="shared" si="27"/>
        <v>1.2084146341463382E-2</v>
      </c>
      <c r="F109" s="93" t="s">
        <v>107</v>
      </c>
      <c r="G109" s="95">
        <f t="shared" si="18"/>
        <v>-89.454545454545013</v>
      </c>
      <c r="H109" s="71">
        <v>0</v>
      </c>
      <c r="I109" s="71">
        <v>0</v>
      </c>
      <c r="J109" s="71">
        <v>0</v>
      </c>
      <c r="K109" s="71">
        <v>0</v>
      </c>
      <c r="L109" s="96">
        <f t="shared" si="28"/>
        <v>737591.31866890797</v>
      </c>
      <c r="M109" s="96">
        <v>0</v>
      </c>
      <c r="N109" s="96">
        <f t="shared" si="29"/>
        <v>737591.31866890797</v>
      </c>
      <c r="O109" s="96">
        <f t="shared" si="35"/>
        <v>1475182.6373378159</v>
      </c>
      <c r="P109" s="96">
        <f t="shared" si="19"/>
        <v>0</v>
      </c>
      <c r="Q109" s="97">
        <f t="shared" si="30"/>
        <v>-0.39843267546634248</v>
      </c>
      <c r="R109" s="97">
        <f t="shared" si="31"/>
        <v>0</v>
      </c>
      <c r="S109" s="71">
        <f t="shared" si="32"/>
        <v>0</v>
      </c>
      <c r="T109" s="98">
        <f t="shared" si="20"/>
        <v>0</v>
      </c>
      <c r="U109" s="99">
        <f t="shared" si="21"/>
        <v>0</v>
      </c>
      <c r="V109" s="93" t="str">
        <f t="shared" si="33"/>
        <v>SI</v>
      </c>
      <c r="W109" s="95">
        <f t="shared" si="22"/>
        <v>-1475.182637337816</v>
      </c>
      <c r="X109" s="95">
        <f t="shared" si="23"/>
        <v>0</v>
      </c>
      <c r="Y109" s="95">
        <f t="shared" si="24"/>
        <v>0</v>
      </c>
      <c r="Z109" s="95">
        <f t="shared" si="25"/>
        <v>1475.182637337816</v>
      </c>
      <c r="AA109" s="93" t="str">
        <f t="shared" si="34"/>
        <v/>
      </c>
      <c r="AB109" s="100"/>
      <c r="AC109" s="71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</row>
    <row r="110" spans="1:46" ht="18.75" x14ac:dyDescent="0.25">
      <c r="A110" s="39"/>
      <c r="B110" s="39"/>
      <c r="C110" s="93" t="s">
        <v>107</v>
      </c>
      <c r="D110" s="94">
        <f t="shared" si="26"/>
        <v>6.7500000000000004E-2</v>
      </c>
      <c r="E110" s="94">
        <f t="shared" si="27"/>
        <v>1.1454420731707285E-2</v>
      </c>
      <c r="F110" s="93" t="s">
        <v>107</v>
      </c>
      <c r="G110" s="95">
        <f t="shared" si="18"/>
        <v>-81.078651685392828</v>
      </c>
      <c r="H110" s="71">
        <v>0</v>
      </c>
      <c r="I110" s="71">
        <v>0</v>
      </c>
      <c r="J110" s="71">
        <v>0</v>
      </c>
      <c r="K110" s="71">
        <v>0</v>
      </c>
      <c r="L110" s="96">
        <f t="shared" si="28"/>
        <v>737591.31866890797</v>
      </c>
      <c r="M110" s="96">
        <v>0</v>
      </c>
      <c r="N110" s="96">
        <f t="shared" si="29"/>
        <v>737591.31866890797</v>
      </c>
      <c r="O110" s="96">
        <f t="shared" si="35"/>
        <v>1475182.6373378159</v>
      </c>
      <c r="P110" s="96">
        <f t="shared" si="19"/>
        <v>0</v>
      </c>
      <c r="Q110" s="97">
        <f t="shared" si="30"/>
        <v>-0.39843267546634248</v>
      </c>
      <c r="R110" s="97">
        <f t="shared" si="31"/>
        <v>0</v>
      </c>
      <c r="S110" s="71">
        <f t="shared" si="32"/>
        <v>0</v>
      </c>
      <c r="T110" s="98">
        <f t="shared" si="20"/>
        <v>0</v>
      </c>
      <c r="U110" s="99">
        <f t="shared" si="21"/>
        <v>0</v>
      </c>
      <c r="V110" s="93" t="str">
        <f t="shared" si="33"/>
        <v>SI</v>
      </c>
      <c r="W110" s="95">
        <f t="shared" si="22"/>
        <v>-1475.182637337816</v>
      </c>
      <c r="X110" s="95">
        <f t="shared" si="23"/>
        <v>0</v>
      </c>
      <c r="Y110" s="95">
        <f t="shared" si="24"/>
        <v>0</v>
      </c>
      <c r="Z110" s="95">
        <f t="shared" si="25"/>
        <v>1475.182637337816</v>
      </c>
      <c r="AA110" s="93" t="str">
        <f t="shared" si="34"/>
        <v/>
      </c>
      <c r="AB110" s="100"/>
      <c r="AC110" s="71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</row>
    <row r="111" spans="1:46" ht="18.75" x14ac:dyDescent="0.25">
      <c r="A111" s="39"/>
      <c r="B111" s="39"/>
      <c r="C111" s="93" t="s">
        <v>107</v>
      </c>
      <c r="D111" s="94">
        <f t="shared" si="26"/>
        <v>6.7500000000000004E-2</v>
      </c>
      <c r="E111" s="94">
        <f t="shared" si="27"/>
        <v>1.0824695121951187E-2</v>
      </c>
      <c r="F111" s="93" t="s">
        <v>107</v>
      </c>
      <c r="G111" s="95">
        <f t="shared" si="18"/>
        <v>-72.888888888888474</v>
      </c>
      <c r="H111" s="71">
        <v>0</v>
      </c>
      <c r="I111" s="71">
        <v>0</v>
      </c>
      <c r="J111" s="71">
        <v>0</v>
      </c>
      <c r="K111" s="71">
        <v>0</v>
      </c>
      <c r="L111" s="96">
        <f t="shared" si="28"/>
        <v>737591.31866890797</v>
      </c>
      <c r="M111" s="96">
        <v>0</v>
      </c>
      <c r="N111" s="96">
        <f t="shared" si="29"/>
        <v>737591.31866890797</v>
      </c>
      <c r="O111" s="96">
        <f t="shared" si="35"/>
        <v>1475182.6373378159</v>
      </c>
      <c r="P111" s="96">
        <f t="shared" si="19"/>
        <v>0</v>
      </c>
      <c r="Q111" s="97">
        <f t="shared" si="30"/>
        <v>-0.39843267546634248</v>
      </c>
      <c r="R111" s="97">
        <f t="shared" si="31"/>
        <v>0</v>
      </c>
      <c r="S111" s="71">
        <f t="shared" si="32"/>
        <v>0</v>
      </c>
      <c r="T111" s="98">
        <f t="shared" si="20"/>
        <v>0</v>
      </c>
      <c r="U111" s="99">
        <f t="shared" si="21"/>
        <v>0</v>
      </c>
      <c r="V111" s="93" t="str">
        <f t="shared" si="33"/>
        <v>SI</v>
      </c>
      <c r="W111" s="95">
        <f t="shared" si="22"/>
        <v>-1475.182637337816</v>
      </c>
      <c r="X111" s="95">
        <f t="shared" si="23"/>
        <v>0</v>
      </c>
      <c r="Y111" s="95">
        <f t="shared" si="24"/>
        <v>0</v>
      </c>
      <c r="Z111" s="95">
        <f t="shared" si="25"/>
        <v>1475.182637337816</v>
      </c>
      <c r="AA111" s="93" t="str">
        <f t="shared" si="34"/>
        <v/>
      </c>
      <c r="AB111" s="100"/>
      <c r="AC111" s="71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</row>
    <row r="112" spans="1:46" ht="18.75" x14ac:dyDescent="0.25">
      <c r="A112" s="39"/>
      <c r="B112" s="39"/>
      <c r="C112" s="93" t="s">
        <v>107</v>
      </c>
      <c r="D112" s="94">
        <f t="shared" si="26"/>
        <v>6.7500000000000004E-2</v>
      </c>
      <c r="E112" s="94">
        <f t="shared" si="27"/>
        <v>1.019496951219509E-2</v>
      </c>
      <c r="F112" s="93" t="s">
        <v>107</v>
      </c>
      <c r="G112" s="95">
        <f t="shared" si="18"/>
        <v>-64.879120879120478</v>
      </c>
      <c r="H112" s="71">
        <v>0</v>
      </c>
      <c r="I112" s="71">
        <v>0</v>
      </c>
      <c r="J112" s="71">
        <v>0</v>
      </c>
      <c r="K112" s="71">
        <v>0</v>
      </c>
      <c r="L112" s="96">
        <f t="shared" si="28"/>
        <v>737591.31866890797</v>
      </c>
      <c r="M112" s="96">
        <v>0</v>
      </c>
      <c r="N112" s="96">
        <f t="shared" si="29"/>
        <v>737591.31866890797</v>
      </c>
      <c r="O112" s="96">
        <f t="shared" si="35"/>
        <v>1475182.6373378159</v>
      </c>
      <c r="P112" s="96">
        <f t="shared" si="19"/>
        <v>0</v>
      </c>
      <c r="Q112" s="97">
        <f t="shared" si="30"/>
        <v>-0.39843267546634248</v>
      </c>
      <c r="R112" s="97">
        <f t="shared" si="31"/>
        <v>0</v>
      </c>
      <c r="S112" s="71">
        <f t="shared" si="32"/>
        <v>0</v>
      </c>
      <c r="T112" s="98">
        <f t="shared" si="20"/>
        <v>0</v>
      </c>
      <c r="U112" s="99">
        <f t="shared" si="21"/>
        <v>0</v>
      </c>
      <c r="V112" s="93" t="str">
        <f t="shared" si="33"/>
        <v>SI</v>
      </c>
      <c r="W112" s="95">
        <f t="shared" si="22"/>
        <v>-1475.182637337816</v>
      </c>
      <c r="X112" s="95">
        <f t="shared" si="23"/>
        <v>0</v>
      </c>
      <c r="Y112" s="95">
        <f t="shared" si="24"/>
        <v>0</v>
      </c>
      <c r="Z112" s="95">
        <f t="shared" si="25"/>
        <v>1475.182637337816</v>
      </c>
      <c r="AA112" s="93" t="str">
        <f t="shared" si="34"/>
        <v/>
      </c>
      <c r="AB112" s="100"/>
      <c r="AC112" s="71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</row>
    <row r="113" spans="1:46" ht="18.75" x14ac:dyDescent="0.25">
      <c r="A113" s="39"/>
      <c r="B113" s="39"/>
      <c r="C113" s="93" t="s">
        <v>107</v>
      </c>
      <c r="D113" s="94">
        <f t="shared" si="26"/>
        <v>6.7500000000000004E-2</v>
      </c>
      <c r="E113" s="94">
        <f t="shared" si="27"/>
        <v>9.5652439024389926E-3</v>
      </c>
      <c r="F113" s="93" t="s">
        <v>107</v>
      </c>
      <c r="G113" s="95">
        <f t="shared" si="18"/>
        <v>-57.043478260869172</v>
      </c>
      <c r="H113" s="71">
        <v>0</v>
      </c>
      <c r="I113" s="71">
        <v>0</v>
      </c>
      <c r="J113" s="71">
        <v>0</v>
      </c>
      <c r="K113" s="71">
        <v>0</v>
      </c>
      <c r="L113" s="96">
        <f t="shared" si="28"/>
        <v>737591.31866890797</v>
      </c>
      <c r="M113" s="96">
        <v>0</v>
      </c>
      <c r="N113" s="96">
        <f t="shared" si="29"/>
        <v>737591.31866890797</v>
      </c>
      <c r="O113" s="96">
        <f t="shared" si="35"/>
        <v>1475182.6373378159</v>
      </c>
      <c r="P113" s="96">
        <f t="shared" si="19"/>
        <v>0</v>
      </c>
      <c r="Q113" s="97">
        <f t="shared" si="30"/>
        <v>-0.39843267546634248</v>
      </c>
      <c r="R113" s="97">
        <f t="shared" si="31"/>
        <v>0</v>
      </c>
      <c r="S113" s="71">
        <f t="shared" si="32"/>
        <v>0</v>
      </c>
      <c r="T113" s="98">
        <f t="shared" si="20"/>
        <v>0</v>
      </c>
      <c r="U113" s="99">
        <f t="shared" si="21"/>
        <v>0</v>
      </c>
      <c r="V113" s="93" t="str">
        <f t="shared" si="33"/>
        <v>SI</v>
      </c>
      <c r="W113" s="95">
        <f t="shared" si="22"/>
        <v>-1475.182637337816</v>
      </c>
      <c r="X113" s="95">
        <f t="shared" si="23"/>
        <v>0</v>
      </c>
      <c r="Y113" s="95">
        <f t="shared" si="24"/>
        <v>0</v>
      </c>
      <c r="Z113" s="95">
        <f t="shared" si="25"/>
        <v>1475.182637337816</v>
      </c>
      <c r="AA113" s="93" t="str">
        <f t="shared" si="34"/>
        <v/>
      </c>
      <c r="AB113" s="100"/>
      <c r="AC113" s="71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</row>
    <row r="114" spans="1:46" ht="18.75" x14ac:dyDescent="0.25">
      <c r="A114" s="39"/>
      <c r="B114" s="39"/>
      <c r="C114" s="93" t="s">
        <v>107</v>
      </c>
      <c r="D114" s="94">
        <f t="shared" si="26"/>
        <v>6.7500000000000004E-2</v>
      </c>
      <c r="E114" s="94">
        <f t="shared" si="27"/>
        <v>8.9355182926828952E-3</v>
      </c>
      <c r="F114" s="93" t="s">
        <v>107</v>
      </c>
      <c r="G114" s="95">
        <f t="shared" si="18"/>
        <v>-49.37634408602112</v>
      </c>
      <c r="H114" s="71">
        <v>0</v>
      </c>
      <c r="I114" s="71">
        <v>0</v>
      </c>
      <c r="J114" s="71">
        <v>0</v>
      </c>
      <c r="K114" s="71">
        <v>0</v>
      </c>
      <c r="L114" s="96">
        <f t="shared" si="28"/>
        <v>737591.31866890797</v>
      </c>
      <c r="M114" s="96">
        <v>0</v>
      </c>
      <c r="N114" s="96">
        <f t="shared" si="29"/>
        <v>737591.31866890797</v>
      </c>
      <c r="O114" s="96">
        <f t="shared" si="35"/>
        <v>1475182.6373378159</v>
      </c>
      <c r="P114" s="96">
        <f t="shared" si="19"/>
        <v>0</v>
      </c>
      <c r="Q114" s="97">
        <f t="shared" si="30"/>
        <v>-0.39843267546634248</v>
      </c>
      <c r="R114" s="97">
        <f t="shared" si="31"/>
        <v>0</v>
      </c>
      <c r="S114" s="71">
        <f t="shared" si="32"/>
        <v>0</v>
      </c>
      <c r="T114" s="98">
        <f t="shared" si="20"/>
        <v>0</v>
      </c>
      <c r="U114" s="99">
        <f t="shared" si="21"/>
        <v>0</v>
      </c>
      <c r="V114" s="93" t="str">
        <f t="shared" si="33"/>
        <v>SI</v>
      </c>
      <c r="W114" s="95">
        <f t="shared" si="22"/>
        <v>-1475.182637337816</v>
      </c>
      <c r="X114" s="95">
        <f t="shared" si="23"/>
        <v>0</v>
      </c>
      <c r="Y114" s="95">
        <f t="shared" si="24"/>
        <v>0</v>
      </c>
      <c r="Z114" s="95">
        <f t="shared" si="25"/>
        <v>1475.182637337816</v>
      </c>
      <c r="AA114" s="93" t="str">
        <f t="shared" si="34"/>
        <v/>
      </c>
      <c r="AB114" s="100"/>
      <c r="AC114" s="71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</row>
    <row r="115" spans="1:46" ht="18.75" x14ac:dyDescent="0.25">
      <c r="A115" s="39"/>
      <c r="B115" s="39"/>
      <c r="C115" s="93" t="s">
        <v>107</v>
      </c>
      <c r="D115" s="94">
        <f t="shared" si="26"/>
        <v>6.7500000000000004E-2</v>
      </c>
      <c r="E115" s="94">
        <f t="shared" si="27"/>
        <v>8.3057926829267978E-3</v>
      </c>
      <c r="F115" s="93" t="s">
        <v>107</v>
      </c>
      <c r="G115" s="95">
        <f t="shared" si="18"/>
        <v>-41.87234042553154</v>
      </c>
      <c r="H115" s="71">
        <v>0</v>
      </c>
      <c r="I115" s="71">
        <v>0</v>
      </c>
      <c r="J115" s="71">
        <v>0</v>
      </c>
      <c r="K115" s="71">
        <v>0</v>
      </c>
      <c r="L115" s="96">
        <f t="shared" si="28"/>
        <v>737591.31866890797</v>
      </c>
      <c r="M115" s="96">
        <v>0</v>
      </c>
      <c r="N115" s="96">
        <f t="shared" si="29"/>
        <v>737591.31866890797</v>
      </c>
      <c r="O115" s="96">
        <f t="shared" si="35"/>
        <v>1475182.6373378159</v>
      </c>
      <c r="P115" s="96">
        <f t="shared" si="19"/>
        <v>0</v>
      </c>
      <c r="Q115" s="97">
        <f t="shared" si="30"/>
        <v>-0.39843267546634248</v>
      </c>
      <c r="R115" s="97">
        <f t="shared" si="31"/>
        <v>0</v>
      </c>
      <c r="S115" s="71">
        <f t="shared" si="32"/>
        <v>0</v>
      </c>
      <c r="T115" s="98">
        <f t="shared" si="20"/>
        <v>0</v>
      </c>
      <c r="U115" s="99">
        <f t="shared" si="21"/>
        <v>0</v>
      </c>
      <c r="V115" s="93" t="str">
        <f t="shared" si="33"/>
        <v>SI</v>
      </c>
      <c r="W115" s="95">
        <f t="shared" si="22"/>
        <v>-1475.182637337816</v>
      </c>
      <c r="X115" s="95">
        <f t="shared" si="23"/>
        <v>0</v>
      </c>
      <c r="Y115" s="95">
        <f t="shared" si="24"/>
        <v>0</v>
      </c>
      <c r="Z115" s="95">
        <f t="shared" si="25"/>
        <v>1475.182637337816</v>
      </c>
      <c r="AA115" s="93" t="str">
        <f t="shared" si="34"/>
        <v/>
      </c>
      <c r="AB115" s="100"/>
      <c r="AC115" s="71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</row>
    <row r="116" spans="1:46" ht="18.75" x14ac:dyDescent="0.25">
      <c r="A116" s="39"/>
      <c r="B116" s="39"/>
      <c r="C116" s="93" t="s">
        <v>107</v>
      </c>
      <c r="D116" s="94">
        <f t="shared" si="26"/>
        <v>6.7500000000000004E-2</v>
      </c>
      <c r="E116" s="94">
        <f t="shared" si="27"/>
        <v>7.6760670731707004E-3</v>
      </c>
      <c r="F116" s="93" t="s">
        <v>107</v>
      </c>
      <c r="G116" s="95">
        <f t="shared" si="18"/>
        <v>-34.526315789473315</v>
      </c>
      <c r="H116" s="71">
        <v>0</v>
      </c>
      <c r="I116" s="71">
        <v>0</v>
      </c>
      <c r="J116" s="71">
        <v>0</v>
      </c>
      <c r="K116" s="71">
        <v>0</v>
      </c>
      <c r="L116" s="96">
        <f t="shared" si="28"/>
        <v>737591.31866890797</v>
      </c>
      <c r="M116" s="96">
        <v>0</v>
      </c>
      <c r="N116" s="96">
        <f t="shared" si="29"/>
        <v>737591.31866890797</v>
      </c>
      <c r="O116" s="96">
        <f t="shared" si="35"/>
        <v>1475182.6373378159</v>
      </c>
      <c r="P116" s="96">
        <f t="shared" si="19"/>
        <v>0</v>
      </c>
      <c r="Q116" s="97">
        <f t="shared" si="30"/>
        <v>-0.39843267546634248</v>
      </c>
      <c r="R116" s="97">
        <f t="shared" si="31"/>
        <v>0</v>
      </c>
      <c r="S116" s="71">
        <f t="shared" si="32"/>
        <v>0</v>
      </c>
      <c r="T116" s="98">
        <f t="shared" si="20"/>
        <v>0</v>
      </c>
      <c r="U116" s="99">
        <f t="shared" si="21"/>
        <v>0</v>
      </c>
      <c r="V116" s="93" t="str">
        <f t="shared" si="33"/>
        <v>SI</v>
      </c>
      <c r="W116" s="95">
        <f t="shared" si="22"/>
        <v>-1475.182637337816</v>
      </c>
      <c r="X116" s="95">
        <f t="shared" si="23"/>
        <v>0</v>
      </c>
      <c r="Y116" s="95">
        <f t="shared" si="24"/>
        <v>0</v>
      </c>
      <c r="Z116" s="95">
        <f t="shared" si="25"/>
        <v>1475.182637337816</v>
      </c>
      <c r="AA116" s="93" t="str">
        <f t="shared" si="34"/>
        <v/>
      </c>
      <c r="AB116" s="100"/>
      <c r="AC116" s="71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</row>
    <row r="117" spans="1:46" ht="18.75" x14ac:dyDescent="0.25">
      <c r="A117" s="39"/>
      <c r="B117" s="39"/>
      <c r="C117" s="93" t="s">
        <v>107</v>
      </c>
      <c r="D117" s="94">
        <f t="shared" si="26"/>
        <v>6.7500000000000004E-2</v>
      </c>
      <c r="E117" s="94">
        <f t="shared" si="27"/>
        <v>7.0463414634146029E-3</v>
      </c>
      <c r="F117" s="93" t="s">
        <v>107</v>
      </c>
      <c r="G117" s="95">
        <f t="shared" si="18"/>
        <v>-27.333333333332973</v>
      </c>
      <c r="H117" s="71">
        <v>0</v>
      </c>
      <c r="I117" s="71">
        <v>0</v>
      </c>
      <c r="J117" s="71">
        <v>0</v>
      </c>
      <c r="K117" s="71">
        <v>0</v>
      </c>
      <c r="L117" s="96">
        <f t="shared" si="28"/>
        <v>737591.31866890797</v>
      </c>
      <c r="M117" s="96">
        <v>0</v>
      </c>
      <c r="N117" s="96">
        <f t="shared" si="29"/>
        <v>737591.31866890797</v>
      </c>
      <c r="O117" s="96">
        <f t="shared" si="35"/>
        <v>1475182.6373378159</v>
      </c>
      <c r="P117" s="96">
        <f t="shared" si="19"/>
        <v>0</v>
      </c>
      <c r="Q117" s="97">
        <f t="shared" si="30"/>
        <v>-0.39843267546634248</v>
      </c>
      <c r="R117" s="97">
        <f t="shared" si="31"/>
        <v>0</v>
      </c>
      <c r="S117" s="71">
        <f t="shared" si="32"/>
        <v>0</v>
      </c>
      <c r="T117" s="98">
        <f t="shared" si="20"/>
        <v>0</v>
      </c>
      <c r="U117" s="99">
        <f t="shared" si="21"/>
        <v>0</v>
      </c>
      <c r="V117" s="93" t="str">
        <f t="shared" si="33"/>
        <v>SI</v>
      </c>
      <c r="W117" s="95">
        <f t="shared" si="22"/>
        <v>-1475.182637337816</v>
      </c>
      <c r="X117" s="95">
        <f t="shared" si="23"/>
        <v>0</v>
      </c>
      <c r="Y117" s="95">
        <f t="shared" si="24"/>
        <v>0</v>
      </c>
      <c r="Z117" s="95">
        <f t="shared" si="25"/>
        <v>1475.182637337816</v>
      </c>
      <c r="AA117" s="93" t="str">
        <f t="shared" si="34"/>
        <v/>
      </c>
      <c r="AB117" s="100"/>
      <c r="AC117" s="71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</row>
    <row r="118" spans="1:46" ht="18.75" x14ac:dyDescent="0.25">
      <c r="A118" s="39"/>
      <c r="B118" s="39"/>
      <c r="C118" s="93" t="s">
        <v>107</v>
      </c>
      <c r="D118" s="94">
        <f t="shared" si="26"/>
        <v>6.7500000000000004E-2</v>
      </c>
      <c r="E118" s="94">
        <f>E117-(D118-($C$10/$C$13*D118))/100</f>
        <v>6.4166158536585055E-3</v>
      </c>
      <c r="F118" s="93" t="s">
        <v>107</v>
      </c>
      <c r="G118" s="95">
        <f t="shared" si="18"/>
        <v>-20.28865979381408</v>
      </c>
      <c r="H118" s="71">
        <v>0</v>
      </c>
      <c r="I118" s="71">
        <v>0</v>
      </c>
      <c r="J118" s="71">
        <v>0</v>
      </c>
      <c r="K118" s="71">
        <v>0</v>
      </c>
      <c r="L118" s="96">
        <f t="shared" si="28"/>
        <v>737591.31866890797</v>
      </c>
      <c r="M118" s="96">
        <v>0</v>
      </c>
      <c r="N118" s="96">
        <f t="shared" si="29"/>
        <v>737591.31866890797</v>
      </c>
      <c r="O118" s="96">
        <f t="shared" si="35"/>
        <v>1475182.6373378159</v>
      </c>
      <c r="P118" s="96">
        <f t="shared" si="19"/>
        <v>0</v>
      </c>
      <c r="Q118" s="97">
        <f t="shared" si="30"/>
        <v>-0.39843267546634248</v>
      </c>
      <c r="R118" s="97">
        <f t="shared" si="31"/>
        <v>0</v>
      </c>
      <c r="S118" s="71">
        <f t="shared" si="32"/>
        <v>0</v>
      </c>
      <c r="T118" s="98">
        <f t="shared" si="20"/>
        <v>0</v>
      </c>
      <c r="U118" s="99">
        <f t="shared" si="21"/>
        <v>0</v>
      </c>
      <c r="V118" s="93" t="str">
        <f t="shared" si="33"/>
        <v>SI</v>
      </c>
      <c r="W118" s="95">
        <f t="shared" si="22"/>
        <v>-1475.182637337816</v>
      </c>
      <c r="X118" s="95">
        <f t="shared" si="23"/>
        <v>0</v>
      </c>
      <c r="Y118" s="95">
        <f t="shared" si="24"/>
        <v>0</v>
      </c>
      <c r="Z118" s="95">
        <f t="shared" si="25"/>
        <v>1475.182637337816</v>
      </c>
      <c r="AA118" s="93" t="str">
        <f t="shared" si="34"/>
        <v/>
      </c>
      <c r="AB118" s="100"/>
      <c r="AC118" s="71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</row>
    <row r="119" spans="1:46" ht="18.75" x14ac:dyDescent="0.25">
      <c r="A119" s="39"/>
      <c r="B119" s="39"/>
      <c r="C119" s="93" t="s">
        <v>107</v>
      </c>
      <c r="D119" s="94">
        <f t="shared" si="26"/>
        <v>6.7500000000000004E-2</v>
      </c>
      <c r="E119" s="94">
        <f>E118-(D119-($C$10/$C$13*D119))/100</f>
        <v>5.7868902439024081E-3</v>
      </c>
      <c r="F119" s="93" t="s">
        <v>107</v>
      </c>
      <c r="G119" s="95">
        <f t="shared" si="18"/>
        <v>-13.387755102040478</v>
      </c>
      <c r="H119" s="71">
        <v>0</v>
      </c>
      <c r="I119" s="71">
        <v>0</v>
      </c>
      <c r="J119" s="71">
        <v>0</v>
      </c>
      <c r="K119" s="71">
        <v>0</v>
      </c>
      <c r="L119" s="96">
        <f t="shared" si="28"/>
        <v>737591.31866890797</v>
      </c>
      <c r="M119" s="96">
        <v>0</v>
      </c>
      <c r="N119" s="96">
        <f t="shared" si="29"/>
        <v>737591.31866890797</v>
      </c>
      <c r="O119" s="96">
        <f t="shared" si="35"/>
        <v>1475182.6373378159</v>
      </c>
      <c r="P119" s="96">
        <f t="shared" si="19"/>
        <v>0</v>
      </c>
      <c r="Q119" s="97">
        <f t="shared" si="30"/>
        <v>-0.39843267546634248</v>
      </c>
      <c r="R119" s="97">
        <f t="shared" si="31"/>
        <v>0</v>
      </c>
      <c r="S119" s="71">
        <f t="shared" si="32"/>
        <v>0</v>
      </c>
      <c r="T119" s="98">
        <f t="shared" si="20"/>
        <v>0</v>
      </c>
      <c r="U119" s="99">
        <f t="shared" si="21"/>
        <v>0</v>
      </c>
      <c r="V119" s="93" t="str">
        <f t="shared" si="33"/>
        <v>SI</v>
      </c>
      <c r="W119" s="95">
        <f t="shared" si="22"/>
        <v>-1475.182637337816</v>
      </c>
      <c r="X119" s="95">
        <f t="shared" si="23"/>
        <v>0</v>
      </c>
      <c r="Y119" s="95">
        <f t="shared" si="24"/>
        <v>0</v>
      </c>
      <c r="Z119" s="95">
        <f t="shared" si="25"/>
        <v>1475.182637337816</v>
      </c>
      <c r="AA119" s="93" t="str">
        <f t="shared" si="34"/>
        <v/>
      </c>
      <c r="AB119" s="100"/>
      <c r="AC119" s="71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</row>
    <row r="120" spans="1:46" ht="18.75" x14ac:dyDescent="0.25">
      <c r="A120" s="39"/>
      <c r="B120" s="39"/>
      <c r="C120" s="93" t="s">
        <v>107</v>
      </c>
      <c r="D120" s="94">
        <f t="shared" si="26"/>
        <v>6.7500000000000004E-2</v>
      </c>
      <c r="E120" s="94">
        <f>E119-(D120-($C$10/$C$13*D120))/100</f>
        <v>5.1571646341463107E-3</v>
      </c>
      <c r="F120" s="93" t="s">
        <v>107</v>
      </c>
      <c r="G120" s="95">
        <f t="shared" si="18"/>
        <v>-6.626262626262295</v>
      </c>
      <c r="H120" s="71">
        <v>0</v>
      </c>
      <c r="I120" s="71">
        <v>0</v>
      </c>
      <c r="J120" s="71">
        <v>0</v>
      </c>
      <c r="K120" s="71">
        <v>0</v>
      </c>
      <c r="L120" s="96">
        <f t="shared" si="28"/>
        <v>737591.31866890797</v>
      </c>
      <c r="M120" s="96">
        <v>0</v>
      </c>
      <c r="N120" s="96">
        <f t="shared" si="29"/>
        <v>737591.31866890797</v>
      </c>
      <c r="O120" s="96">
        <f t="shared" si="35"/>
        <v>1475182.6373378159</v>
      </c>
      <c r="P120" s="96">
        <f t="shared" si="19"/>
        <v>0</v>
      </c>
      <c r="Q120" s="97">
        <f t="shared" si="30"/>
        <v>-0.39843267546634248</v>
      </c>
      <c r="R120" s="97">
        <f t="shared" si="31"/>
        <v>0</v>
      </c>
      <c r="S120" s="71">
        <f t="shared" si="32"/>
        <v>0</v>
      </c>
      <c r="T120" s="98">
        <f t="shared" si="20"/>
        <v>0</v>
      </c>
      <c r="U120" s="99">
        <f t="shared" si="21"/>
        <v>0</v>
      </c>
      <c r="V120" s="93" t="str">
        <f t="shared" si="33"/>
        <v>SI</v>
      </c>
      <c r="W120" s="95">
        <f t="shared" si="22"/>
        <v>-1475.182637337816</v>
      </c>
      <c r="X120" s="95">
        <f t="shared" si="23"/>
        <v>0</v>
      </c>
      <c r="Y120" s="95">
        <f t="shared" si="24"/>
        <v>0</v>
      </c>
      <c r="Z120" s="95">
        <f t="shared" si="25"/>
        <v>1475.182637337816</v>
      </c>
      <c r="AA120" s="93" t="str">
        <f t="shared" si="34"/>
        <v/>
      </c>
      <c r="AB120" s="100"/>
      <c r="AC120" s="71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</row>
    <row r="121" spans="1:46" ht="19.5" thickBot="1" x14ac:dyDescent="0.3">
      <c r="A121" s="39"/>
      <c r="B121" s="39"/>
      <c r="C121" s="101" t="s">
        <v>107</v>
      </c>
      <c r="D121" s="102">
        <f t="shared" si="26"/>
        <v>6.7500000000000004E-2</v>
      </c>
      <c r="E121" s="102">
        <f>E120-(D121-($C$10/$C$13*D121))/100</f>
        <v>4.5274390243902132E-3</v>
      </c>
      <c r="F121" s="101" t="s">
        <v>107</v>
      </c>
      <c r="G121" s="103">
        <f t="shared" si="18"/>
        <v>3.2439690139035297E-13</v>
      </c>
      <c r="H121" s="104">
        <v>0</v>
      </c>
      <c r="I121" s="104">
        <v>0</v>
      </c>
      <c r="J121" s="104">
        <v>0</v>
      </c>
      <c r="K121" s="104">
        <v>0</v>
      </c>
      <c r="L121" s="105">
        <f t="shared" si="28"/>
        <v>737591.31866890797</v>
      </c>
      <c r="M121" s="105">
        <v>0</v>
      </c>
      <c r="N121" s="105">
        <f t="shared" si="29"/>
        <v>737591.31866890797</v>
      </c>
      <c r="O121" s="105">
        <f t="shared" si="35"/>
        <v>1475182.6373378159</v>
      </c>
      <c r="P121" s="105">
        <f t="shared" si="19"/>
        <v>0</v>
      </c>
      <c r="Q121" s="106">
        <f t="shared" si="30"/>
        <v>-0.39843267546634248</v>
      </c>
      <c r="R121" s="107">
        <f t="shared" si="31"/>
        <v>0</v>
      </c>
      <c r="S121" s="104">
        <f t="shared" si="32"/>
        <v>0</v>
      </c>
      <c r="T121" s="108">
        <f t="shared" si="20"/>
        <v>0</v>
      </c>
      <c r="U121" s="109">
        <f t="shared" si="21"/>
        <v>0</v>
      </c>
      <c r="V121" s="101" t="str">
        <f t="shared" si="33"/>
        <v>SI</v>
      </c>
      <c r="W121" s="103">
        <f t="shared" si="22"/>
        <v>-1475.182637337816</v>
      </c>
      <c r="X121" s="103">
        <f t="shared" si="23"/>
        <v>0</v>
      </c>
      <c r="Y121" s="103">
        <f t="shared" si="24"/>
        <v>0</v>
      </c>
      <c r="Z121" s="103">
        <f t="shared" si="25"/>
        <v>1475.182637337816</v>
      </c>
      <c r="AA121" s="101" t="str">
        <f t="shared" si="34"/>
        <v/>
      </c>
      <c r="AB121" s="100"/>
      <c r="AC121" s="71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</row>
    <row r="122" spans="1:46" ht="26.25" x14ac:dyDescent="0.25">
      <c r="A122" s="39"/>
      <c r="B122" s="110" t="s">
        <v>108</v>
      </c>
      <c r="C122" s="111">
        <v>0</v>
      </c>
      <c r="D122" s="111">
        <f t="shared" si="26"/>
        <v>6.7500000000000004E-2</v>
      </c>
      <c r="E122" s="112">
        <f t="shared" ref="E122:E157" si="36">($C$10-G122)/($C$13-G122)*D122</f>
        <v>4.5274390243902445E-3</v>
      </c>
      <c r="F122" s="113" t="s">
        <v>107</v>
      </c>
      <c r="G122" s="114">
        <f>($C$13*C122)/(C122+D122)</f>
        <v>0</v>
      </c>
      <c r="H122" s="115">
        <f t="shared" ref="H122:H142" si="37">(2*$I$10/(-$I$14)*((-C122*10^3)^2)/2)-($I$10/(-$I$14)^2*(-C122*10^3)^3/3)</f>
        <v>0</v>
      </c>
      <c r="I122" s="115">
        <f t="shared" ref="I122:I142" si="38">(2*$I$10/(-$I$14)*((-C122*10^3)^3)/3)-($I$10/(-$I$14)^2*(-C122*10^3)^4/4)</f>
        <v>0</v>
      </c>
      <c r="J122" s="115">
        <f t="shared" ref="J122:J185" si="39">H122/($I$10*(-$I$12))</f>
        <v>0</v>
      </c>
      <c r="K122" s="115">
        <v>0</v>
      </c>
      <c r="L122" s="96">
        <f t="shared" si="28"/>
        <v>737591.31866890797</v>
      </c>
      <c r="M122" s="116">
        <f t="shared" ref="M122:M157" si="40">-$I$16*$C$6*$I$10*G122*J122</f>
        <v>0</v>
      </c>
      <c r="N122" s="96">
        <f t="shared" si="29"/>
        <v>737591.31866890797</v>
      </c>
      <c r="O122" s="116">
        <f t="shared" si="35"/>
        <v>1475182.6373378159</v>
      </c>
      <c r="P122" s="116">
        <f t="shared" ref="P122:P157" si="41">-M122*($C$8/2+-K122*G122)-L122*($C$13/2)+N122*($C$13/2)</f>
        <v>0</v>
      </c>
      <c r="Q122" s="97">
        <f t="shared" si="30"/>
        <v>-0.39843267546634248</v>
      </c>
      <c r="R122" s="117">
        <f t="shared" si="31"/>
        <v>0</v>
      </c>
      <c r="S122" s="71">
        <f t="shared" si="32"/>
        <v>0</v>
      </c>
      <c r="T122" s="118">
        <f t="shared" si="20"/>
        <v>0</v>
      </c>
      <c r="U122" s="119">
        <f t="shared" si="21"/>
        <v>0</v>
      </c>
      <c r="V122" s="93" t="str">
        <f t="shared" si="33"/>
        <v>SI</v>
      </c>
      <c r="W122" s="95">
        <f t="shared" si="22"/>
        <v>-1475.182637337816</v>
      </c>
      <c r="X122" s="95">
        <f t="shared" si="23"/>
        <v>0</v>
      </c>
      <c r="Y122" s="95">
        <f t="shared" si="24"/>
        <v>0</v>
      </c>
      <c r="Z122" s="95">
        <f t="shared" si="25"/>
        <v>1475.182637337816</v>
      </c>
      <c r="AA122" s="93" t="str">
        <f t="shared" si="34"/>
        <v/>
      </c>
      <c r="AB122" s="100"/>
      <c r="AC122" s="71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</row>
    <row r="123" spans="1:46" ht="18.75" x14ac:dyDescent="0.25">
      <c r="A123" s="39"/>
      <c r="B123" s="39"/>
      <c r="C123" s="94">
        <v>-1E-4</v>
      </c>
      <c r="D123" s="94">
        <f t="shared" si="26"/>
        <v>6.7500000000000004E-2</v>
      </c>
      <c r="E123" s="94">
        <f t="shared" si="36"/>
        <v>4.4341463414634052E-3</v>
      </c>
      <c r="F123" s="93" t="s">
        <v>107</v>
      </c>
      <c r="G123" s="95">
        <f t="shared" ref="G123:G157" si="42">($C$13-$M$8*10^(-3)/($M$8*10^(-3)-C123)*$C$13)</f>
        <v>0.97041420118353017</v>
      </c>
      <c r="H123" s="71">
        <f t="shared" si="37"/>
        <v>8.1616666666666671E-2</v>
      </c>
      <c r="I123" s="71">
        <f t="shared" si="38"/>
        <v>5.429583333333334E-3</v>
      </c>
      <c r="J123" s="71">
        <f t="shared" si="39"/>
        <v>1.404761904761905E-3</v>
      </c>
      <c r="K123" s="71">
        <f t="shared" ref="K123:K186" si="43">1-(I123/H123)/(-C123*10^3)</f>
        <v>0.3347457627118644</v>
      </c>
      <c r="L123" s="96">
        <f t="shared" si="28"/>
        <v>737591.31866890797</v>
      </c>
      <c r="M123" s="96">
        <f t="shared" si="40"/>
        <v>-7.6939058889835907</v>
      </c>
      <c r="N123" s="96">
        <f t="shared" si="29"/>
        <v>737591.31866890797</v>
      </c>
      <c r="O123" s="96">
        <f t="shared" si="35"/>
        <v>1475174.9434319269</v>
      </c>
      <c r="P123" s="96">
        <f t="shared" si="41"/>
        <v>2690.3677570521832</v>
      </c>
      <c r="Q123" s="97">
        <f t="shared" si="30"/>
        <v>-0.39843059741618753</v>
      </c>
      <c r="R123" s="97">
        <f t="shared" si="31"/>
        <v>9.415337481082951E-7</v>
      </c>
      <c r="S123" s="71">
        <f t="shared" si="32"/>
        <v>-9.415337481082951E-7</v>
      </c>
      <c r="T123" s="98">
        <f t="shared" si="20"/>
        <v>1.8237618317954655E-3</v>
      </c>
      <c r="U123" s="99">
        <f t="shared" si="21"/>
        <v>2.7801247435906487E-6</v>
      </c>
      <c r="V123" s="93" t="str">
        <f t="shared" si="33"/>
        <v>SI</v>
      </c>
      <c r="W123" s="95">
        <f t="shared" si="22"/>
        <v>-1475.174943431927</v>
      </c>
      <c r="X123" s="95">
        <f t="shared" si="23"/>
        <v>2.690367757052183E-3</v>
      </c>
      <c r="Y123" s="95">
        <f t="shared" si="24"/>
        <v>-2.690367757052183E-3</v>
      </c>
      <c r="Z123" s="95">
        <f t="shared" si="25"/>
        <v>1475.182637337816</v>
      </c>
      <c r="AA123" s="93" t="str">
        <f t="shared" si="34"/>
        <v/>
      </c>
      <c r="AB123" s="100"/>
      <c r="AC123" s="71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</row>
    <row r="124" spans="1:46" ht="18.75" x14ac:dyDescent="0.25">
      <c r="A124" s="39"/>
      <c r="B124" s="39"/>
      <c r="C124" s="94">
        <f>C123-0.0001</f>
        <v>-2.0000000000000001E-4</v>
      </c>
      <c r="D124" s="94">
        <f t="shared" si="26"/>
        <v>6.7500000000000004E-2</v>
      </c>
      <c r="E124" s="94">
        <f t="shared" si="36"/>
        <v>4.3408536585365773E-3</v>
      </c>
      <c r="F124" s="93" t="s">
        <v>107</v>
      </c>
      <c r="G124" s="95">
        <f t="shared" si="42"/>
        <v>1.9379615952733502</v>
      </c>
      <c r="H124" s="71">
        <f t="shared" si="37"/>
        <v>0.32093333333333335</v>
      </c>
      <c r="I124" s="71">
        <f t="shared" si="38"/>
        <v>4.2606666666666668E-2</v>
      </c>
      <c r="J124" s="71">
        <f t="shared" si="39"/>
        <v>5.5238095238095246E-3</v>
      </c>
      <c r="K124" s="71">
        <f t="shared" si="43"/>
        <v>0.3362068965517242</v>
      </c>
      <c r="L124" s="96">
        <f t="shared" si="28"/>
        <v>737591.31866890797</v>
      </c>
      <c r="M124" s="96">
        <f t="shared" si="40"/>
        <v>-60.418628965325873</v>
      </c>
      <c r="N124" s="96">
        <f t="shared" si="29"/>
        <v>737591.31866890797</v>
      </c>
      <c r="O124" s="96">
        <f t="shared" si="35"/>
        <v>1475122.2187088507</v>
      </c>
      <c r="P124" s="96">
        <f t="shared" si="41"/>
        <v>21107.154014408588</v>
      </c>
      <c r="Q124" s="97">
        <f t="shared" si="30"/>
        <v>-0.39841635697439626</v>
      </c>
      <c r="R124" s="97">
        <f t="shared" si="31"/>
        <v>7.3867588469986639E-6</v>
      </c>
      <c r="S124" s="71">
        <f t="shared" si="32"/>
        <v>-7.3867588469986639E-6</v>
      </c>
      <c r="T124" s="98">
        <f t="shared" si="20"/>
        <v>1.4308749300029743E-2</v>
      </c>
      <c r="U124" s="99">
        <f t="shared" si="21"/>
        <v>2.1812117835411195E-5</v>
      </c>
      <c r="V124" s="93" t="str">
        <f t="shared" si="33"/>
        <v>SI</v>
      </c>
      <c r="W124" s="95">
        <f t="shared" si="22"/>
        <v>-1475.1222187088506</v>
      </c>
      <c r="X124" s="95">
        <f t="shared" si="23"/>
        <v>2.1107154014408588E-2</v>
      </c>
      <c r="Y124" s="95">
        <f t="shared" si="24"/>
        <v>-2.1107154014408588E-2</v>
      </c>
      <c r="Z124" s="95">
        <f t="shared" si="25"/>
        <v>1475.182637337816</v>
      </c>
      <c r="AA124" s="93" t="str">
        <f t="shared" si="34"/>
        <v/>
      </c>
      <c r="AB124" s="100"/>
      <c r="AC124" s="71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</row>
    <row r="125" spans="1:46" ht="18.75" x14ac:dyDescent="0.25">
      <c r="A125" s="39"/>
      <c r="B125" s="39"/>
      <c r="C125" s="94">
        <f t="shared" ref="C125:C157" si="44">C124-0.0001</f>
        <v>-3.0000000000000003E-4</v>
      </c>
      <c r="D125" s="94">
        <f t="shared" si="26"/>
        <v>6.7500000000000004E-2</v>
      </c>
      <c r="E125" s="94">
        <f t="shared" si="36"/>
        <v>4.247560975609758E-3</v>
      </c>
      <c r="F125" s="93" t="s">
        <v>107</v>
      </c>
      <c r="G125" s="95">
        <f t="shared" si="42"/>
        <v>2.902654867256615</v>
      </c>
      <c r="H125" s="71">
        <f t="shared" si="37"/>
        <v>0.70965000000000011</v>
      </c>
      <c r="I125" s="71">
        <f t="shared" si="38"/>
        <v>0.14099625000000002</v>
      </c>
      <c r="J125" s="71">
        <f t="shared" si="39"/>
        <v>1.2214285714285717E-2</v>
      </c>
      <c r="K125" s="71">
        <f t="shared" si="43"/>
        <v>0.3377192982456142</v>
      </c>
      <c r="L125" s="96">
        <f t="shared" si="28"/>
        <v>737591.31866890797</v>
      </c>
      <c r="M125" s="96">
        <f t="shared" si="40"/>
        <v>-200.10156257901241</v>
      </c>
      <c r="N125" s="96">
        <f t="shared" si="29"/>
        <v>737591.31866890797</v>
      </c>
      <c r="O125" s="96">
        <f t="shared" si="35"/>
        <v>1474982.5357752368</v>
      </c>
      <c r="P125" s="96">
        <f t="shared" si="41"/>
        <v>69839.390829652548</v>
      </c>
      <c r="Q125" s="97">
        <f t="shared" si="30"/>
        <v>-0.39837862995433232</v>
      </c>
      <c r="R125" s="97">
        <f t="shared" si="31"/>
        <v>2.4441321540922491E-5</v>
      </c>
      <c r="S125" s="71">
        <f t="shared" si="32"/>
        <v>-2.4441321540922491E-5</v>
      </c>
      <c r="T125" s="98">
        <f t="shared" si="20"/>
        <v>4.7349300168456322E-2</v>
      </c>
      <c r="U125" s="99">
        <f t="shared" si="21"/>
        <v>7.2178811232402935E-5</v>
      </c>
      <c r="V125" s="93" t="str">
        <f t="shared" si="33"/>
        <v>SI</v>
      </c>
      <c r="W125" s="95">
        <f t="shared" si="22"/>
        <v>-1474.9825357752368</v>
      </c>
      <c r="X125" s="95">
        <f t="shared" si="23"/>
        <v>6.9839390829652542E-2</v>
      </c>
      <c r="Y125" s="95">
        <f t="shared" si="24"/>
        <v>-6.9839390829652542E-2</v>
      </c>
      <c r="Z125" s="95">
        <f t="shared" si="25"/>
        <v>1475.182637337816</v>
      </c>
      <c r="AA125" s="93" t="str">
        <f t="shared" si="34"/>
        <v/>
      </c>
      <c r="AB125" s="100"/>
      <c r="AC125" s="71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</row>
    <row r="126" spans="1:46" ht="18.75" x14ac:dyDescent="0.25">
      <c r="A126" s="39"/>
      <c r="B126" s="39"/>
      <c r="C126" s="94">
        <f t="shared" si="44"/>
        <v>-4.0000000000000002E-4</v>
      </c>
      <c r="D126" s="94">
        <f t="shared" si="26"/>
        <v>6.7500000000000004E-2</v>
      </c>
      <c r="E126" s="94">
        <f t="shared" si="36"/>
        <v>4.1542682926829283E-3</v>
      </c>
      <c r="F126" s="93" t="s">
        <v>107</v>
      </c>
      <c r="G126" s="95">
        <f t="shared" si="42"/>
        <v>3.8645066273932116</v>
      </c>
      <c r="H126" s="71">
        <f t="shared" si="37"/>
        <v>1.2394666666666667</v>
      </c>
      <c r="I126" s="71">
        <f t="shared" si="38"/>
        <v>0.32757333333333333</v>
      </c>
      <c r="J126" s="71">
        <f t="shared" si="39"/>
        <v>2.1333333333333336E-2</v>
      </c>
      <c r="K126" s="71">
        <f t="shared" si="43"/>
        <v>0.3392857142857143</v>
      </c>
      <c r="L126" s="96">
        <f t="shared" si="28"/>
        <v>737591.31866890797</v>
      </c>
      <c r="M126" s="96">
        <f t="shared" si="40"/>
        <v>-465.30720864015547</v>
      </c>
      <c r="N126" s="96">
        <f t="shared" si="29"/>
        <v>737591.31866890797</v>
      </c>
      <c r="O126" s="96">
        <f t="shared" si="35"/>
        <v>1474717.3301291759</v>
      </c>
      <c r="P126" s="96">
        <f t="shared" si="41"/>
        <v>162247.42529121041</v>
      </c>
      <c r="Q126" s="97">
        <f t="shared" si="30"/>
        <v>-0.39830700045406958</v>
      </c>
      <c r="R126" s="97">
        <f t="shared" si="31"/>
        <v>5.6780871706079893E-5</v>
      </c>
      <c r="S126" s="71">
        <f t="shared" si="32"/>
        <v>-5.6780871706079893E-5</v>
      </c>
      <c r="T126" s="98">
        <f t="shared" si="20"/>
        <v>0.11001933860572355</v>
      </c>
      <c r="U126" s="99">
        <f t="shared" si="21"/>
        <v>1.6771240641116396E-4</v>
      </c>
      <c r="V126" s="93" t="str">
        <f t="shared" si="33"/>
        <v>SI</v>
      </c>
      <c r="W126" s="95">
        <f t="shared" si="22"/>
        <v>-1474.7173301291759</v>
      </c>
      <c r="X126" s="95">
        <f t="shared" si="23"/>
        <v>0.16224742529121042</v>
      </c>
      <c r="Y126" s="95">
        <f t="shared" si="24"/>
        <v>-0.16224742529121042</v>
      </c>
      <c r="Z126" s="95">
        <f t="shared" si="25"/>
        <v>1475.182637337816</v>
      </c>
      <c r="AA126" s="93" t="str">
        <f t="shared" si="34"/>
        <v/>
      </c>
      <c r="AB126" s="100"/>
      <c r="AC126" s="71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</row>
    <row r="127" spans="1:46" ht="18.75" x14ac:dyDescent="0.25">
      <c r="A127" s="39"/>
      <c r="B127" s="39"/>
      <c r="C127" s="94">
        <f t="shared" si="44"/>
        <v>-5.0000000000000001E-4</v>
      </c>
      <c r="D127" s="94">
        <f t="shared" si="26"/>
        <v>6.7500000000000004E-2</v>
      </c>
      <c r="E127" s="94">
        <f t="shared" si="36"/>
        <v>4.0609756097561046E-3</v>
      </c>
      <c r="F127" s="93" t="s">
        <v>107</v>
      </c>
      <c r="G127" s="95">
        <f t="shared" si="42"/>
        <v>4.823529411764639</v>
      </c>
      <c r="H127" s="71">
        <f t="shared" si="37"/>
        <v>1.9020833333333331</v>
      </c>
      <c r="I127" s="71">
        <f t="shared" si="38"/>
        <v>0.62682291666666656</v>
      </c>
      <c r="J127" s="71">
        <f t="shared" si="39"/>
        <v>3.273809523809524E-2</v>
      </c>
      <c r="K127" s="71">
        <f t="shared" si="43"/>
        <v>0.34090909090909094</v>
      </c>
      <c r="L127" s="96">
        <f t="shared" si="28"/>
        <v>737591.31866890797</v>
      </c>
      <c r="M127" s="96">
        <f t="shared" si="40"/>
        <v>-891.26190476189231</v>
      </c>
      <c r="N127" s="96">
        <f t="shared" si="29"/>
        <v>737591.31866890797</v>
      </c>
      <c r="O127" s="96">
        <f t="shared" si="35"/>
        <v>1474291.3754330541</v>
      </c>
      <c r="P127" s="96">
        <f t="shared" si="41"/>
        <v>310476.08893558383</v>
      </c>
      <c r="Q127" s="97">
        <f t="shared" si="30"/>
        <v>-0.3981919541778271</v>
      </c>
      <c r="R127" s="97">
        <f t="shared" si="31"/>
        <v>1.0865567168178584E-4</v>
      </c>
      <c r="S127" s="71">
        <f t="shared" si="32"/>
        <v>-1.0865567168178584E-4</v>
      </c>
      <c r="T127" s="98">
        <f t="shared" si="20"/>
        <v>0.2105934377079195</v>
      </c>
      <c r="U127" s="99">
        <f t="shared" si="21"/>
        <v>3.2102658187182852E-4</v>
      </c>
      <c r="V127" s="93" t="str">
        <f t="shared" si="33"/>
        <v>SI</v>
      </c>
      <c r="W127" s="95">
        <f t="shared" si="22"/>
        <v>-1474.2913754330541</v>
      </c>
      <c r="X127" s="95">
        <f t="shared" si="23"/>
        <v>0.31047608893558382</v>
      </c>
      <c r="Y127" s="95">
        <f t="shared" si="24"/>
        <v>-0.31047608893558382</v>
      </c>
      <c r="Z127" s="95">
        <f t="shared" si="25"/>
        <v>1475.182637337816</v>
      </c>
      <c r="AA127" s="93" t="str">
        <f t="shared" si="34"/>
        <v/>
      </c>
      <c r="AB127" s="100"/>
      <c r="AC127" s="71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</row>
    <row r="128" spans="1:46" ht="18.75" x14ac:dyDescent="0.25">
      <c r="A128" s="39"/>
      <c r="B128" s="39"/>
      <c r="C128" s="94">
        <f t="shared" si="44"/>
        <v>-6.0000000000000006E-4</v>
      </c>
      <c r="D128" s="94">
        <f t="shared" si="26"/>
        <v>6.7500000000000004E-2</v>
      </c>
      <c r="E128" s="94">
        <f t="shared" si="36"/>
        <v>3.9676829268292593E-3</v>
      </c>
      <c r="F128" s="93" t="s">
        <v>107</v>
      </c>
      <c r="G128" s="95">
        <f t="shared" si="42"/>
        <v>5.7797356828194779</v>
      </c>
      <c r="H128" s="71">
        <f t="shared" si="37"/>
        <v>2.6892000000000005</v>
      </c>
      <c r="I128" s="71">
        <f t="shared" si="38"/>
        <v>1.0607400000000002</v>
      </c>
      <c r="J128" s="71">
        <f t="shared" si="39"/>
        <v>4.6285714285714298E-2</v>
      </c>
      <c r="K128" s="71">
        <f t="shared" si="43"/>
        <v>0.34259259259259267</v>
      </c>
      <c r="L128" s="96">
        <f t="shared" si="28"/>
        <v>737591.31866890797</v>
      </c>
      <c r="M128" s="96">
        <f t="shared" si="40"/>
        <v>-1509.8783335431337</v>
      </c>
      <c r="N128" s="96">
        <f t="shared" si="29"/>
        <v>737591.31866890797</v>
      </c>
      <c r="O128" s="96">
        <f t="shared" si="35"/>
        <v>1473672.759004273</v>
      </c>
      <c r="P128" s="96">
        <f t="shared" si="41"/>
        <v>525467.71475675702</v>
      </c>
      <c r="Q128" s="97">
        <f t="shared" si="30"/>
        <v>-0.39802487181624813</v>
      </c>
      <c r="R128" s="97">
        <f t="shared" si="31"/>
        <v>1.8389515176427744E-4</v>
      </c>
      <c r="S128" s="71">
        <f t="shared" si="32"/>
        <v>-1.8389515176427744E-4</v>
      </c>
      <c r="T128" s="98">
        <f t="shared" si="20"/>
        <v>0.35657014866163605</v>
      </c>
      <c r="U128" s="99">
        <f t="shared" si="21"/>
        <v>5.4355205588664036E-4</v>
      </c>
      <c r="V128" s="93" t="str">
        <f t="shared" si="33"/>
        <v>SI</v>
      </c>
      <c r="W128" s="95">
        <f t="shared" si="22"/>
        <v>-1473.6727590042731</v>
      </c>
      <c r="X128" s="95">
        <f t="shared" si="23"/>
        <v>0.52546771475675702</v>
      </c>
      <c r="Y128" s="95">
        <f t="shared" si="24"/>
        <v>-0.52546771475675702</v>
      </c>
      <c r="Z128" s="95">
        <f t="shared" si="25"/>
        <v>1475.182637337816</v>
      </c>
      <c r="AA128" s="93" t="str">
        <f t="shared" si="34"/>
        <v/>
      </c>
      <c r="AB128" s="100"/>
      <c r="AC128" s="71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</row>
    <row r="129" spans="1:46" ht="18.75" x14ac:dyDescent="0.25">
      <c r="A129" s="39"/>
      <c r="B129" s="39"/>
      <c r="C129" s="94">
        <f t="shared" si="44"/>
        <v>-7.000000000000001E-4</v>
      </c>
      <c r="D129" s="94">
        <f t="shared" si="26"/>
        <v>6.7500000000000004E-2</v>
      </c>
      <c r="E129" s="94">
        <f t="shared" si="36"/>
        <v>3.8743902439024379E-3</v>
      </c>
      <c r="F129" s="93" t="s">
        <v>107</v>
      </c>
      <c r="G129" s="95">
        <f t="shared" si="42"/>
        <v>6.7331378299120388</v>
      </c>
      <c r="H129" s="71">
        <f t="shared" si="37"/>
        <v>3.5925166666666666</v>
      </c>
      <c r="I129" s="71">
        <f t="shared" si="38"/>
        <v>1.6488295833333333</v>
      </c>
      <c r="J129" s="71">
        <f t="shared" si="39"/>
        <v>6.1833333333333337E-2</v>
      </c>
      <c r="K129" s="71">
        <f t="shared" si="43"/>
        <v>0.34433962264150952</v>
      </c>
      <c r="L129" s="96">
        <f t="shared" si="28"/>
        <v>737591.31866890797</v>
      </c>
      <c r="M129" s="96">
        <f>-$I$16*$C$6*$I$10*G129*J129</f>
        <v>-2349.7798162267891</v>
      </c>
      <c r="N129" s="96">
        <f t="shared" si="29"/>
        <v>737591.31866890797</v>
      </c>
      <c r="O129" s="96">
        <f t="shared" si="35"/>
        <v>1472832.8575215891</v>
      </c>
      <c r="P129" s="96">
        <f t="shared" si="41"/>
        <v>816975.00374448299</v>
      </c>
      <c r="Q129" s="97">
        <f t="shared" si="30"/>
        <v>-0.3977980224849153</v>
      </c>
      <c r="R129" s="97">
        <f t="shared" si="31"/>
        <v>2.8591241304094014E-4</v>
      </c>
      <c r="S129" s="71">
        <f t="shared" si="32"/>
        <v>-2.8591241304094014E-4</v>
      </c>
      <c r="T129" s="98">
        <f t="shared" si="20"/>
        <v>0.55469634559840586</v>
      </c>
      <c r="U129" s="99">
        <f t="shared" si="21"/>
        <v>8.455736975585455E-4</v>
      </c>
      <c r="V129" s="93" t="str">
        <f t="shared" si="33"/>
        <v>SI</v>
      </c>
      <c r="W129" s="95">
        <f t="shared" si="22"/>
        <v>-1472.8328575215892</v>
      </c>
      <c r="X129" s="95">
        <f t="shared" si="23"/>
        <v>0.81697500374448295</v>
      </c>
      <c r="Y129" s="95">
        <f t="shared" si="24"/>
        <v>-0.81697500374448295</v>
      </c>
      <c r="Z129" s="95">
        <f t="shared" si="25"/>
        <v>1475.182637337816</v>
      </c>
      <c r="AA129" s="93" t="str">
        <f t="shared" si="34"/>
        <v/>
      </c>
      <c r="AB129" s="100"/>
      <c r="AC129" s="71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</row>
    <row r="130" spans="1:46" ht="18.75" x14ac:dyDescent="0.25">
      <c r="A130" s="39"/>
      <c r="B130" s="39"/>
      <c r="C130" s="94">
        <f t="shared" si="44"/>
        <v>-8.0000000000000015E-4</v>
      </c>
      <c r="D130" s="94">
        <f t="shared" si="26"/>
        <v>6.7500000000000004E-2</v>
      </c>
      <c r="E130" s="120">
        <f t="shared" si="36"/>
        <v>3.7810975609756194E-3</v>
      </c>
      <c r="F130" s="121" t="s">
        <v>107</v>
      </c>
      <c r="G130" s="122">
        <f t="shared" si="42"/>
        <v>7.6837481698388501</v>
      </c>
      <c r="H130" s="97">
        <f t="shared" si="37"/>
        <v>4.6037333333333343</v>
      </c>
      <c r="I130" s="71">
        <f t="shared" si="38"/>
        <v>2.4081066666666677</v>
      </c>
      <c r="J130" s="71">
        <f t="shared" si="39"/>
        <v>7.923809523809526E-2</v>
      </c>
      <c r="K130" s="71">
        <f t="shared" si="43"/>
        <v>0.34615384615384615</v>
      </c>
      <c r="L130" s="96">
        <f t="shared" si="28"/>
        <v>737591.31866890797</v>
      </c>
      <c r="M130" s="96">
        <f t="shared" si="40"/>
        <v>-3436.324392944251</v>
      </c>
      <c r="N130" s="96">
        <f t="shared" si="29"/>
        <v>737591.31866890797</v>
      </c>
      <c r="O130" s="96">
        <f t="shared" si="35"/>
        <v>1471746.3129448718</v>
      </c>
      <c r="P130" s="96">
        <f t="shared" si="41"/>
        <v>1193573.7428617477</v>
      </c>
      <c r="Q130" s="97">
        <f t="shared" si="30"/>
        <v>-0.39750455722050837</v>
      </c>
      <c r="R130" s="97">
        <f t="shared" si="31"/>
        <v>4.1770867823349045E-4</v>
      </c>
      <c r="S130" s="71">
        <f t="shared" si="32"/>
        <v>-4.1770867823349045E-4</v>
      </c>
      <c r="T130" s="98">
        <f t="shared" si="20"/>
        <v>0.81099149518063463</v>
      </c>
      <c r="U130" s="99">
        <f t="shared" si="21"/>
        <v>1.2362675231412112E-3</v>
      </c>
      <c r="V130" s="93" t="str">
        <f t="shared" si="33"/>
        <v>SI</v>
      </c>
      <c r="W130" s="95">
        <f t="shared" si="22"/>
        <v>-1471.7463129448718</v>
      </c>
      <c r="X130" s="95">
        <f t="shared" si="23"/>
        <v>1.1935737428617477</v>
      </c>
      <c r="Y130" s="95">
        <f t="shared" si="24"/>
        <v>-1.1935737428617477</v>
      </c>
      <c r="Z130" s="95">
        <f t="shared" si="25"/>
        <v>1475.182637337816</v>
      </c>
      <c r="AA130" s="93" t="str">
        <f t="shared" si="34"/>
        <v/>
      </c>
      <c r="AB130" s="100"/>
      <c r="AC130" s="71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</row>
    <row r="131" spans="1:46" ht="18.75" x14ac:dyDescent="0.25">
      <c r="A131" s="39"/>
      <c r="B131" s="39"/>
      <c r="C131" s="94">
        <f t="shared" si="44"/>
        <v>-9.0000000000000019E-4</v>
      </c>
      <c r="D131" s="94">
        <f t="shared" si="26"/>
        <v>6.7500000000000004E-2</v>
      </c>
      <c r="E131" s="94">
        <f t="shared" si="36"/>
        <v>3.6878048780487902E-3</v>
      </c>
      <c r="F131" s="93" t="s">
        <v>107</v>
      </c>
      <c r="G131" s="95">
        <f t="shared" si="42"/>
        <v>8.6315789473683253</v>
      </c>
      <c r="H131" s="71">
        <f t="shared" si="37"/>
        <v>5.7145500000000018</v>
      </c>
      <c r="I131" s="71">
        <f t="shared" si="38"/>
        <v>3.3530962500000014</v>
      </c>
      <c r="J131" s="71">
        <f t="shared" si="39"/>
        <v>9.8357142857142893E-2</v>
      </c>
      <c r="K131" s="71">
        <f t="shared" si="43"/>
        <v>0.34803921568627461</v>
      </c>
      <c r="L131" s="96">
        <f t="shared" si="28"/>
        <v>737591.31866890797</v>
      </c>
      <c r="M131" s="96">
        <f t="shared" si="40"/>
        <v>-4791.6286917292709</v>
      </c>
      <c r="N131" s="96">
        <f t="shared" si="29"/>
        <v>737591.31866890797</v>
      </c>
      <c r="O131" s="96">
        <f t="shared" si="35"/>
        <v>1470391.0086460868</v>
      </c>
      <c r="P131" s="96">
        <f t="shared" si="41"/>
        <v>1662675.3763450682</v>
      </c>
      <c r="Q131" s="97">
        <f t="shared" si="30"/>
        <v>-0.39713850253401173</v>
      </c>
      <c r="R131" s="97">
        <f t="shared" si="31"/>
        <v>5.818776912093278E-4</v>
      </c>
      <c r="S131" s="71">
        <f t="shared" si="32"/>
        <v>-5.818776912093278E-4</v>
      </c>
      <c r="T131" s="98">
        <f t="shared" si="20"/>
        <v>1.1307709082606767</v>
      </c>
      <c r="U131" s="99">
        <f t="shared" si="21"/>
        <v>1.7237361406412756E-3</v>
      </c>
      <c r="V131" s="93" t="str">
        <f t="shared" si="33"/>
        <v>SI</v>
      </c>
      <c r="W131" s="95">
        <f t="shared" si="22"/>
        <v>-1470.3910086460869</v>
      </c>
      <c r="X131" s="95">
        <f t="shared" si="23"/>
        <v>1.6626753763450681</v>
      </c>
      <c r="Y131" s="95">
        <f t="shared" si="24"/>
        <v>-1.6626753763450681</v>
      </c>
      <c r="Z131" s="95">
        <f t="shared" si="25"/>
        <v>1475.182637337816</v>
      </c>
      <c r="AA131" s="93" t="str">
        <f t="shared" si="34"/>
        <v/>
      </c>
      <c r="AB131" s="100"/>
      <c r="AC131" s="71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</row>
    <row r="132" spans="1:46" ht="18.75" x14ac:dyDescent="0.25">
      <c r="A132" s="39"/>
      <c r="B132" s="39"/>
      <c r="C132" s="94">
        <f t="shared" si="44"/>
        <v>-1.0000000000000002E-3</v>
      </c>
      <c r="D132" s="94">
        <f t="shared" si="26"/>
        <v>6.7500000000000004E-2</v>
      </c>
      <c r="E132" s="94">
        <f t="shared" si="36"/>
        <v>3.5945121951219488E-3</v>
      </c>
      <c r="F132" s="93" t="s">
        <v>107</v>
      </c>
      <c r="G132" s="95">
        <f t="shared" si="42"/>
        <v>9.5766423357664507</v>
      </c>
      <c r="H132" s="71">
        <f t="shared" si="37"/>
        <v>6.9166666666666687</v>
      </c>
      <c r="I132" s="71">
        <f t="shared" si="38"/>
        <v>4.4958333333333353</v>
      </c>
      <c r="J132" s="71">
        <f t="shared" si="39"/>
        <v>0.1190476190476191</v>
      </c>
      <c r="K132" s="71">
        <f t="shared" si="43"/>
        <v>0.35</v>
      </c>
      <c r="L132" s="96">
        <f t="shared" si="28"/>
        <v>737591.31866890797</v>
      </c>
      <c r="M132" s="96">
        <f t="shared" si="40"/>
        <v>-6434.5915884602209</v>
      </c>
      <c r="N132" s="96">
        <f t="shared" si="29"/>
        <v>737591.31866890797</v>
      </c>
      <c r="O132" s="96">
        <f t="shared" si="35"/>
        <v>1468748.0457493556</v>
      </c>
      <c r="P132" s="96">
        <f t="shared" si="41"/>
        <v>2230539.432184279</v>
      </c>
      <c r="Q132" s="97">
        <f t="shared" si="30"/>
        <v>-0.39669475402039184</v>
      </c>
      <c r="R132" s="97">
        <f t="shared" si="31"/>
        <v>7.8061006581081984E-4</v>
      </c>
      <c r="S132" s="71">
        <f t="shared" si="32"/>
        <v>-7.8061006581081984E-4</v>
      </c>
      <c r="T132" s="98">
        <f t="shared" si="20"/>
        <v>1.5186671659850668</v>
      </c>
      <c r="U132" s="99">
        <f t="shared" si="21"/>
        <v>2.315041411562602E-3</v>
      </c>
      <c r="V132" s="93" t="str">
        <f t="shared" si="33"/>
        <v>SI</v>
      </c>
      <c r="W132" s="95">
        <f t="shared" si="22"/>
        <v>-1468.7480457493555</v>
      </c>
      <c r="X132" s="95">
        <f t="shared" si="23"/>
        <v>2.2305394321842789</v>
      </c>
      <c r="Y132" s="95">
        <f t="shared" si="24"/>
        <v>-2.2305394321842789</v>
      </c>
      <c r="Z132" s="95">
        <f t="shared" si="25"/>
        <v>1475.182637337816</v>
      </c>
      <c r="AA132" s="93" t="str">
        <f t="shared" si="34"/>
        <v/>
      </c>
      <c r="AB132" s="100"/>
      <c r="AC132" s="71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</row>
    <row r="133" spans="1:46" ht="18.75" x14ac:dyDescent="0.25">
      <c r="A133" s="39"/>
      <c r="B133" s="39"/>
      <c r="C133" s="94">
        <f t="shared" si="44"/>
        <v>-1.1000000000000003E-3</v>
      </c>
      <c r="D133" s="94">
        <f t="shared" si="26"/>
        <v>6.7500000000000004E-2</v>
      </c>
      <c r="E133" s="94">
        <f t="shared" si="36"/>
        <v>3.5012195121951195E-3</v>
      </c>
      <c r="F133" s="93" t="s">
        <v>107</v>
      </c>
      <c r="G133" s="95">
        <f t="shared" si="42"/>
        <v>10.518950437317812</v>
      </c>
      <c r="H133" s="71">
        <f t="shared" si="37"/>
        <v>8.2017833333333368</v>
      </c>
      <c r="I133" s="71">
        <f t="shared" si="38"/>
        <v>5.84586291666667</v>
      </c>
      <c r="J133" s="71">
        <f t="shared" si="39"/>
        <v>0.14116666666666675</v>
      </c>
      <c r="K133" s="71">
        <f t="shared" si="43"/>
        <v>0.35204081632653061</v>
      </c>
      <c r="L133" s="96">
        <f t="shared" si="28"/>
        <v>737591.31866890797</v>
      </c>
      <c r="M133" s="96">
        <f t="shared" si="40"/>
        <v>-8380.9176598639715</v>
      </c>
      <c r="N133" s="96">
        <f t="shared" si="29"/>
        <v>737591.31866890797</v>
      </c>
      <c r="O133" s="96">
        <f t="shared" si="35"/>
        <v>1466801.7196779521</v>
      </c>
      <c r="P133" s="96">
        <f t="shared" si="41"/>
        <v>2902285.8056138754</v>
      </c>
      <c r="Q133" s="97">
        <f t="shared" si="30"/>
        <v>-0.39616907002416568</v>
      </c>
      <c r="R133" s="97">
        <f t="shared" si="31"/>
        <v>1.015697584643679E-3</v>
      </c>
      <c r="S133" s="71">
        <f t="shared" si="32"/>
        <v>-1.015697584643679E-3</v>
      </c>
      <c r="T133" s="98">
        <f t="shared" si="20"/>
        <v>1.9786490339342493</v>
      </c>
      <c r="U133" s="99">
        <f t="shared" si="21"/>
        <v>3.0162332834363557E-3</v>
      </c>
      <c r="V133" s="93" t="str">
        <f t="shared" si="33"/>
        <v>SI</v>
      </c>
      <c r="W133" s="95">
        <f t="shared" si="22"/>
        <v>-1466.8017196779522</v>
      </c>
      <c r="X133" s="95">
        <f t="shared" si="23"/>
        <v>2.9022858056138752</v>
      </c>
      <c r="Y133" s="95">
        <f t="shared" si="24"/>
        <v>-2.9022858056138752</v>
      </c>
      <c r="Z133" s="95">
        <f t="shared" si="25"/>
        <v>1475.182637337816</v>
      </c>
      <c r="AA133" s="93" t="str">
        <f t="shared" si="34"/>
        <v/>
      </c>
      <c r="AB133" s="100"/>
      <c r="AC133" s="71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</row>
    <row r="134" spans="1:46" ht="18.75" x14ac:dyDescent="0.25">
      <c r="A134" s="39"/>
      <c r="B134" s="39"/>
      <c r="C134" s="94">
        <f t="shared" si="44"/>
        <v>-1.2000000000000003E-3</v>
      </c>
      <c r="D134" s="94">
        <f t="shared" si="26"/>
        <v>6.7500000000000004E-2</v>
      </c>
      <c r="E134" s="94">
        <f t="shared" si="36"/>
        <v>3.407926829268285E-3</v>
      </c>
      <c r="F134" s="93" t="s">
        <v>107</v>
      </c>
      <c r="G134" s="95">
        <f t="shared" si="42"/>
        <v>11.458515283842871</v>
      </c>
      <c r="H134" s="71">
        <f t="shared" si="37"/>
        <v>9.5616000000000057</v>
      </c>
      <c r="I134" s="71">
        <f t="shared" si="38"/>
        <v>7.4102400000000044</v>
      </c>
      <c r="J134" s="71">
        <f t="shared" si="39"/>
        <v>0.16457142857142867</v>
      </c>
      <c r="K134" s="71">
        <f t="shared" si="43"/>
        <v>0.35416666666666685</v>
      </c>
      <c r="L134" s="96">
        <f t="shared" si="28"/>
        <v>737591.31866890797</v>
      </c>
      <c r="M134" s="96">
        <f t="shared" si="40"/>
        <v>-10643.140431690656</v>
      </c>
      <c r="N134" s="96">
        <f t="shared" si="29"/>
        <v>737591.31866890797</v>
      </c>
      <c r="O134" s="96">
        <f t="shared" si="35"/>
        <v>1464539.4969061255</v>
      </c>
      <c r="P134" s="96">
        <f t="shared" si="41"/>
        <v>3681906.9014213383</v>
      </c>
      <c r="Q134" s="97">
        <f t="shared" si="30"/>
        <v>-0.39555806536029137</v>
      </c>
      <c r="R134" s="97">
        <f t="shared" si="31"/>
        <v>1.2885374484562675E-3</v>
      </c>
      <c r="S134" s="71">
        <f t="shared" si="32"/>
        <v>-1.2885374484562675E-3</v>
      </c>
      <c r="T134" s="98">
        <f t="shared" si="20"/>
        <v>2.5140372855764248</v>
      </c>
      <c r="U134" s="99">
        <f t="shared" si="21"/>
        <v>3.8323739109396718E-3</v>
      </c>
      <c r="V134" s="93" t="str">
        <f t="shared" si="33"/>
        <v>SI</v>
      </c>
      <c r="W134" s="95">
        <f t="shared" si="22"/>
        <v>-1464.5394969061254</v>
      </c>
      <c r="X134" s="95">
        <f t="shared" si="23"/>
        <v>3.6819069014213381</v>
      </c>
      <c r="Y134" s="95">
        <f t="shared" si="24"/>
        <v>-3.6819069014213381</v>
      </c>
      <c r="Z134" s="95">
        <f t="shared" si="25"/>
        <v>1475.182637337816</v>
      </c>
      <c r="AA134" s="93" t="str">
        <f t="shared" si="34"/>
        <v/>
      </c>
      <c r="AB134" s="100"/>
      <c r="AC134" s="71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</row>
    <row r="135" spans="1:46" ht="18.75" x14ac:dyDescent="0.25">
      <c r="A135" s="39"/>
      <c r="B135" s="39"/>
      <c r="C135" s="94">
        <f t="shared" si="44"/>
        <v>-1.3000000000000004E-3</v>
      </c>
      <c r="D135" s="94">
        <f t="shared" si="26"/>
        <v>6.7500000000000004E-2</v>
      </c>
      <c r="E135" s="94">
        <f t="shared" si="36"/>
        <v>3.3146341463414727E-3</v>
      </c>
      <c r="F135" s="93" t="s">
        <v>107</v>
      </c>
      <c r="G135" s="95">
        <f t="shared" si="42"/>
        <v>12.395348837209212</v>
      </c>
      <c r="H135" s="71">
        <f t="shared" si="37"/>
        <v>10.987816666666667</v>
      </c>
      <c r="I135" s="71">
        <f t="shared" si="38"/>
        <v>9.1935295833333388</v>
      </c>
      <c r="J135" s="71">
        <f t="shared" si="39"/>
        <v>0.18911904761904766</v>
      </c>
      <c r="K135" s="71">
        <f t="shared" si="43"/>
        <v>0.35638297872340396</v>
      </c>
      <c r="L135" s="96">
        <f t="shared" si="28"/>
        <v>737591.31866890797</v>
      </c>
      <c r="M135" s="96">
        <f t="shared" si="40"/>
        <v>-13230.645424141656</v>
      </c>
      <c r="N135" s="96">
        <f t="shared" si="29"/>
        <v>737591.31866890797</v>
      </c>
      <c r="O135" s="96">
        <f t="shared" si="35"/>
        <v>1461951.9919136744</v>
      </c>
      <c r="P135" s="96">
        <f t="shared" si="41"/>
        <v>4572279.6368536353</v>
      </c>
      <c r="Q135" s="97">
        <f t="shared" si="30"/>
        <v>-0.39485920508981986</v>
      </c>
      <c r="R135" s="97">
        <f t="shared" si="31"/>
        <v>1.6001364767331834E-3</v>
      </c>
      <c r="S135" s="71">
        <f t="shared" si="32"/>
        <v>-1.6001364767331834E-3</v>
      </c>
      <c r="T135" s="98">
        <f t="shared" si="20"/>
        <v>3.1275169514072663</v>
      </c>
      <c r="U135" s="99">
        <f t="shared" si="21"/>
        <v>4.7675563283647348E-3</v>
      </c>
      <c r="V135" s="93" t="str">
        <f t="shared" si="33"/>
        <v>SI</v>
      </c>
      <c r="W135" s="95">
        <f t="shared" si="22"/>
        <v>-1461.9519919136744</v>
      </c>
      <c r="X135" s="95">
        <f t="shared" si="23"/>
        <v>4.5722796368536356</v>
      </c>
      <c r="Y135" s="95">
        <f t="shared" si="24"/>
        <v>-4.5722796368536356</v>
      </c>
      <c r="Z135" s="95">
        <f t="shared" si="25"/>
        <v>1475.182637337816</v>
      </c>
      <c r="AA135" s="93" t="str">
        <f t="shared" si="34"/>
        <v/>
      </c>
      <c r="AB135" s="100"/>
      <c r="AC135" s="71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</row>
    <row r="136" spans="1:46" ht="18.75" x14ac:dyDescent="0.25">
      <c r="A136" s="39"/>
      <c r="B136" s="39"/>
      <c r="C136" s="94">
        <f t="shared" si="44"/>
        <v>-1.4000000000000004E-3</v>
      </c>
      <c r="D136" s="94">
        <f t="shared" si="26"/>
        <v>6.7500000000000004E-2</v>
      </c>
      <c r="E136" s="94">
        <f t="shared" si="36"/>
        <v>3.22134146341464E-3</v>
      </c>
      <c r="F136" s="93" t="s">
        <v>107</v>
      </c>
      <c r="G136" s="95">
        <f t="shared" si="42"/>
        <v>13.329462989840295</v>
      </c>
      <c r="H136" s="71">
        <f t="shared" si="37"/>
        <v>12.472133333333339</v>
      </c>
      <c r="I136" s="71">
        <f t="shared" si="38"/>
        <v>11.197806666666672</v>
      </c>
      <c r="J136" s="71">
        <f t="shared" si="39"/>
        <v>0.21466666666666678</v>
      </c>
      <c r="K136" s="71">
        <f t="shared" si="43"/>
        <v>0.35869565217391319</v>
      </c>
      <c r="L136" s="96">
        <f t="shared" si="28"/>
        <v>737591.31866890797</v>
      </c>
      <c r="M136" s="96">
        <f t="shared" si="40"/>
        <v>-16149.692996613392</v>
      </c>
      <c r="N136" s="96">
        <f t="shared" si="29"/>
        <v>737591.31866890797</v>
      </c>
      <c r="O136" s="96">
        <f t="shared" si="35"/>
        <v>1459032.9443412025</v>
      </c>
      <c r="P136" s="96">
        <f t="shared" si="41"/>
        <v>5575177.3068782091</v>
      </c>
      <c r="Q136" s="97">
        <f t="shared" si="30"/>
        <v>-0.3940707983497484</v>
      </c>
      <c r="R136" s="97">
        <f t="shared" si="31"/>
        <v>1.9511152601177769E-3</v>
      </c>
      <c r="S136" s="71">
        <f t="shared" si="32"/>
        <v>-1.9511152601177769E-3</v>
      </c>
      <c r="T136" s="98">
        <f t="shared" si="20"/>
        <v>3.8211455940740051</v>
      </c>
      <c r="U136" s="99">
        <f t="shared" si="21"/>
        <v>5.8249170641372031E-3</v>
      </c>
      <c r="V136" s="93" t="str">
        <f t="shared" si="33"/>
        <v>SI</v>
      </c>
      <c r="W136" s="95">
        <f t="shared" si="22"/>
        <v>-1459.0329443412024</v>
      </c>
      <c r="X136" s="95">
        <f t="shared" si="23"/>
        <v>5.5751773068782091</v>
      </c>
      <c r="Y136" s="95">
        <f t="shared" si="24"/>
        <v>-5.5751773068782091</v>
      </c>
      <c r="Z136" s="95">
        <f t="shared" si="25"/>
        <v>1475.182637337816</v>
      </c>
      <c r="AA136" s="93" t="str">
        <f t="shared" si="34"/>
        <v/>
      </c>
      <c r="AB136" s="100"/>
      <c r="AC136" s="71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</row>
    <row r="137" spans="1:46" ht="18.75" x14ac:dyDescent="0.25">
      <c r="A137" s="39"/>
      <c r="B137" s="39"/>
      <c r="C137" s="94">
        <f t="shared" si="44"/>
        <v>-1.5000000000000005E-3</v>
      </c>
      <c r="D137" s="94">
        <f t="shared" si="26"/>
        <v>6.7500000000000004E-2</v>
      </c>
      <c r="E137" s="94">
        <f t="shared" si="36"/>
        <v>3.1280487804878064E-3</v>
      </c>
      <c r="F137" s="93" t="s">
        <v>107</v>
      </c>
      <c r="G137" s="95">
        <f t="shared" si="42"/>
        <v>14.260869565217376</v>
      </c>
      <c r="H137" s="71">
        <f t="shared" si="37"/>
        <v>14.006250000000005</v>
      </c>
      <c r="I137" s="71">
        <f t="shared" si="38"/>
        <v>13.42265625000001</v>
      </c>
      <c r="J137" s="71">
        <f t="shared" si="39"/>
        <v>0.24107142857142869</v>
      </c>
      <c r="K137" s="71">
        <f t="shared" si="43"/>
        <v>0.36111111111111105</v>
      </c>
      <c r="L137" s="96">
        <f t="shared" si="28"/>
        <v>737591.31866890797</v>
      </c>
      <c r="M137" s="96">
        <f t="shared" si="40"/>
        <v>-19403.440993788805</v>
      </c>
      <c r="N137" s="96">
        <f t="shared" si="29"/>
        <v>737591.31866890797</v>
      </c>
      <c r="O137" s="96">
        <f t="shared" si="35"/>
        <v>1455779.1963440273</v>
      </c>
      <c r="P137" s="96">
        <f t="shared" si="41"/>
        <v>6691281.313529551</v>
      </c>
      <c r="Q137" s="97">
        <f t="shared" si="30"/>
        <v>-0.3931919922365289</v>
      </c>
      <c r="R137" s="97">
        <f t="shared" si="31"/>
        <v>2.341712265269419E-3</v>
      </c>
      <c r="S137" s="71">
        <f t="shared" si="32"/>
        <v>-2.341712265269419E-3</v>
      </c>
      <c r="T137" s="98">
        <f t="shared" si="20"/>
        <v>4.5963572843558334</v>
      </c>
      <c r="U137" s="99">
        <f t="shared" si="21"/>
        <v>7.0066422017619409E-3</v>
      </c>
      <c r="V137" s="93" t="str">
        <f t="shared" si="33"/>
        <v>SI</v>
      </c>
      <c r="W137" s="95">
        <f t="shared" si="22"/>
        <v>-1455.7791963440272</v>
      </c>
      <c r="X137" s="95">
        <f t="shared" si="23"/>
        <v>6.6912813135295508</v>
      </c>
      <c r="Y137" s="95">
        <f t="shared" si="24"/>
        <v>-6.6912813135295508</v>
      </c>
      <c r="Z137" s="95">
        <f t="shared" si="25"/>
        <v>1475.182637337816</v>
      </c>
      <c r="AA137" s="93" t="str">
        <f t="shared" si="34"/>
        <v/>
      </c>
      <c r="AB137" s="100"/>
      <c r="AC137" s="71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</row>
    <row r="138" spans="1:46" ht="18.75" x14ac:dyDescent="0.25">
      <c r="A138" s="39"/>
      <c r="B138" s="39"/>
      <c r="C138" s="94">
        <f t="shared" si="44"/>
        <v>-1.6000000000000005E-3</v>
      </c>
      <c r="D138" s="94">
        <f t="shared" si="26"/>
        <v>6.7500000000000004E-2</v>
      </c>
      <c r="E138" s="94">
        <f t="shared" si="36"/>
        <v>3.0347560975609749E-3</v>
      </c>
      <c r="F138" s="93" t="s">
        <v>107</v>
      </c>
      <c r="G138" s="95">
        <f t="shared" si="42"/>
        <v>15.189580318379171</v>
      </c>
      <c r="H138" s="71">
        <f t="shared" si="37"/>
        <v>15.581866666666674</v>
      </c>
      <c r="I138" s="71">
        <f t="shared" si="38"/>
        <v>15.865173333333347</v>
      </c>
      <c r="J138" s="71">
        <f t="shared" si="39"/>
        <v>0.26819047619047631</v>
      </c>
      <c r="K138" s="71">
        <f t="shared" si="43"/>
        <v>0.36363636363636365</v>
      </c>
      <c r="L138" s="96">
        <f t="shared" si="28"/>
        <v>737591.31866890797</v>
      </c>
      <c r="M138" s="96">
        <f t="shared" si="40"/>
        <v>-22991.967195093403</v>
      </c>
      <c r="N138" s="96">
        <f t="shared" si="29"/>
        <v>737591.31866890797</v>
      </c>
      <c r="O138" s="96">
        <f t="shared" si="35"/>
        <v>1452190.6701427225</v>
      </c>
      <c r="P138" s="96">
        <f t="shared" si="41"/>
        <v>7920192.7610509098</v>
      </c>
      <c r="Q138" s="97">
        <f t="shared" si="30"/>
        <v>-0.39222276574268455</v>
      </c>
      <c r="R138" s="97">
        <f t="shared" si="31"/>
        <v>2.771787892753804E-3</v>
      </c>
      <c r="S138" s="71">
        <f t="shared" si="32"/>
        <v>-2.771787892753804E-3</v>
      </c>
      <c r="T138" s="98">
        <f t="shared" si="20"/>
        <v>5.4539620202025585</v>
      </c>
      <c r="U138" s="99">
        <f t="shared" si="21"/>
        <v>8.3139664942112178E-3</v>
      </c>
      <c r="V138" s="93" t="str">
        <f t="shared" si="33"/>
        <v>SI</v>
      </c>
      <c r="W138" s="95">
        <f t="shared" si="22"/>
        <v>-1452.1906701427226</v>
      </c>
      <c r="X138" s="95">
        <f t="shared" si="23"/>
        <v>7.9201927610509095</v>
      </c>
      <c r="Y138" s="95">
        <f t="shared" si="24"/>
        <v>-7.9201927610509095</v>
      </c>
      <c r="Z138" s="95">
        <f t="shared" si="25"/>
        <v>1475.182637337816</v>
      </c>
      <c r="AA138" s="93" t="str">
        <f t="shared" si="34"/>
        <v/>
      </c>
      <c r="AB138" s="100"/>
      <c r="AC138" s="71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</row>
    <row r="139" spans="1:46" ht="18.75" x14ac:dyDescent="0.25">
      <c r="A139" s="39"/>
      <c r="B139" s="123"/>
      <c r="C139" s="120">
        <f t="shared" si="44"/>
        <v>-1.7000000000000006E-3</v>
      </c>
      <c r="D139" s="120">
        <f t="shared" si="26"/>
        <v>6.7500000000000004E-2</v>
      </c>
      <c r="E139" s="120">
        <f t="shared" si="36"/>
        <v>2.9414634146341379E-3</v>
      </c>
      <c r="F139" s="121" t="s">
        <v>107</v>
      </c>
      <c r="G139" s="122">
        <f t="shared" si="42"/>
        <v>16.11560693641627</v>
      </c>
      <c r="H139" s="97">
        <f t="shared" si="37"/>
        <v>17.19068333333334</v>
      </c>
      <c r="I139" s="97">
        <f t="shared" si="38"/>
        <v>18.519962916666678</v>
      </c>
      <c r="J139" s="97">
        <f t="shared" si="39"/>
        <v>0.29588095238095252</v>
      </c>
      <c r="K139" s="97">
        <f t="shared" si="43"/>
        <v>0.36627906976744196</v>
      </c>
      <c r="L139" s="96">
        <f t="shared" si="28"/>
        <v>737591.31866890797</v>
      </c>
      <c r="M139" s="124">
        <f t="shared" si="40"/>
        <v>-26912.29156950194</v>
      </c>
      <c r="N139" s="96">
        <f t="shared" si="29"/>
        <v>737591.31866890797</v>
      </c>
      <c r="O139" s="124">
        <f t="shared" si="35"/>
        <v>1448270.3457683139</v>
      </c>
      <c r="P139" s="124">
        <f t="shared" si="41"/>
        <v>9260443.9185139537</v>
      </c>
      <c r="Q139" s="97">
        <f t="shared" si="30"/>
        <v>-0.39116392374600112</v>
      </c>
      <c r="R139" s="97">
        <f t="shared" si="31"/>
        <v>3.2408284885552148E-3</v>
      </c>
      <c r="S139" s="71">
        <f t="shared" si="32"/>
        <v>-3.2408284885552148E-3</v>
      </c>
      <c r="T139" s="98">
        <f t="shared" si="20"/>
        <v>6.3941403934506766</v>
      </c>
      <c r="U139" s="99">
        <f t="shared" si="21"/>
        <v>9.7471652339187146E-3</v>
      </c>
      <c r="V139" s="93" t="str">
        <f t="shared" si="33"/>
        <v>SI</v>
      </c>
      <c r="W139" s="95">
        <f t="shared" si="22"/>
        <v>-1448.2703457683137</v>
      </c>
      <c r="X139" s="95">
        <f t="shared" si="23"/>
        <v>9.2604439185139533</v>
      </c>
      <c r="Y139" s="95">
        <f t="shared" si="24"/>
        <v>-9.2604439185139533</v>
      </c>
      <c r="Z139" s="95">
        <f t="shared" si="25"/>
        <v>1475.182637337816</v>
      </c>
      <c r="AA139" s="93" t="str">
        <f t="shared" si="34"/>
        <v/>
      </c>
      <c r="AB139" s="100"/>
      <c r="AC139" s="71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</row>
    <row r="140" spans="1:46" ht="18.75" x14ac:dyDescent="0.25">
      <c r="A140" s="39"/>
      <c r="B140" s="123"/>
      <c r="C140" s="120">
        <f t="shared" si="44"/>
        <v>-1.8000000000000006E-3</v>
      </c>
      <c r="D140" s="120">
        <f t="shared" si="26"/>
        <v>6.7500000000000004E-2</v>
      </c>
      <c r="E140" s="120">
        <f t="shared" si="36"/>
        <v>2.8481707317073194E-3</v>
      </c>
      <c r="F140" s="121" t="s">
        <v>107</v>
      </c>
      <c r="G140" s="122">
        <f t="shared" si="42"/>
        <v>17.03896103896102</v>
      </c>
      <c r="H140" s="97">
        <f t="shared" si="37"/>
        <v>18.824400000000011</v>
      </c>
      <c r="I140" s="97">
        <f t="shared" si="38"/>
        <v>21.379140000000014</v>
      </c>
      <c r="J140" s="97">
        <f t="shared" si="39"/>
        <v>0.32400000000000023</v>
      </c>
      <c r="K140" s="97">
        <f t="shared" si="43"/>
        <v>0.36904761904761929</v>
      </c>
      <c r="L140" s="96">
        <f t="shared" si="28"/>
        <v>737591.31866890797</v>
      </c>
      <c r="M140" s="124">
        <f t="shared" si="40"/>
        <v>-31158.398337662322</v>
      </c>
      <c r="N140" s="96">
        <f t="shared" si="29"/>
        <v>737591.31866890797</v>
      </c>
      <c r="O140" s="124">
        <f t="shared" si="35"/>
        <v>1444024.2390001537</v>
      </c>
      <c r="P140" s="124">
        <f t="shared" si="41"/>
        <v>10709509.551578641</v>
      </c>
      <c r="Q140" s="97">
        <f t="shared" si="30"/>
        <v>-0.3900170910507581</v>
      </c>
      <c r="R140" s="97">
        <f t="shared" si="31"/>
        <v>3.747950309792478E-3</v>
      </c>
      <c r="S140" s="71">
        <f t="shared" si="32"/>
        <v>-3.747950309792478E-3</v>
      </c>
      <c r="T140" s="98">
        <f t="shared" si="20"/>
        <v>7.4164333688705488</v>
      </c>
      <c r="U140" s="99">
        <f t="shared" si="21"/>
        <v>1.1305538672058763E-2</v>
      </c>
      <c r="V140" s="93" t="str">
        <f t="shared" si="33"/>
        <v>SI</v>
      </c>
      <c r="W140" s="95">
        <f t="shared" si="22"/>
        <v>-1444.0242390001538</v>
      </c>
      <c r="X140" s="95">
        <f t="shared" si="23"/>
        <v>10.709509551578641</v>
      </c>
      <c r="Y140" s="95">
        <f t="shared" si="24"/>
        <v>-10.709509551578641</v>
      </c>
      <c r="Z140" s="95">
        <f t="shared" si="25"/>
        <v>1475.182637337816</v>
      </c>
      <c r="AA140" s="93" t="str">
        <f t="shared" si="34"/>
        <v/>
      </c>
      <c r="AB140" s="100"/>
      <c r="AC140" s="71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</row>
    <row r="141" spans="1:46" ht="18.75" x14ac:dyDescent="0.25">
      <c r="A141" s="39"/>
      <c r="B141" s="123"/>
      <c r="C141" s="120">
        <f t="shared" si="44"/>
        <v>-1.9000000000000006E-3</v>
      </c>
      <c r="D141" s="120">
        <f t="shared" si="26"/>
        <v>6.7500000000000004E-2</v>
      </c>
      <c r="E141" s="120">
        <f t="shared" si="36"/>
        <v>2.7548780487804906E-3</v>
      </c>
      <c r="F141" s="121" t="s">
        <v>107</v>
      </c>
      <c r="G141" s="122">
        <f t="shared" si="42"/>
        <v>17.959654178674327</v>
      </c>
      <c r="H141" s="97">
        <f t="shared" si="37"/>
        <v>20.474716666666673</v>
      </c>
      <c r="I141" s="97">
        <f t="shared" si="38"/>
        <v>24.432329583333349</v>
      </c>
      <c r="J141" s="97">
        <f t="shared" si="39"/>
        <v>0.35240476190476205</v>
      </c>
      <c r="K141" s="97">
        <f t="shared" si="43"/>
        <v>0.37195121951219501</v>
      </c>
      <c r="L141" s="96">
        <f t="shared" si="28"/>
        <v>737591.31866890797</v>
      </c>
      <c r="M141" s="124">
        <f t="shared" si="40"/>
        <v>-35721.257843282518</v>
      </c>
      <c r="N141" s="96">
        <f t="shared" si="29"/>
        <v>737591.31866890797</v>
      </c>
      <c r="O141" s="124">
        <f t="shared" si="35"/>
        <v>1439461.3794945334</v>
      </c>
      <c r="P141" s="124">
        <f t="shared" si="41"/>
        <v>12263818.125031501</v>
      </c>
      <c r="Q141" s="97">
        <f t="shared" si="30"/>
        <v>-0.38878470648047725</v>
      </c>
      <c r="R141" s="97">
        <f t="shared" si="31"/>
        <v>4.2919034452119286E-3</v>
      </c>
      <c r="S141" s="71">
        <f t="shared" si="32"/>
        <v>-4.2919034452119286E-3</v>
      </c>
      <c r="T141" s="98">
        <f t="shared" si="20"/>
        <v>8.519727100520015</v>
      </c>
      <c r="U141" s="99">
        <f t="shared" si="21"/>
        <v>1.2987388872743925E-2</v>
      </c>
      <c r="V141" s="93" t="str">
        <f t="shared" si="33"/>
        <v>SI</v>
      </c>
      <c r="W141" s="95">
        <f t="shared" si="22"/>
        <v>-1439.4613794945335</v>
      </c>
      <c r="X141" s="95">
        <f t="shared" si="23"/>
        <v>12.2638181250315</v>
      </c>
      <c r="Y141" s="95">
        <f t="shared" si="24"/>
        <v>-12.2638181250315</v>
      </c>
      <c r="Z141" s="95">
        <f t="shared" si="25"/>
        <v>1475.182637337816</v>
      </c>
      <c r="AA141" s="93" t="str">
        <f t="shared" si="34"/>
        <v/>
      </c>
      <c r="AB141" s="100"/>
      <c r="AC141" s="71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</row>
    <row r="142" spans="1:46" ht="18.75" x14ac:dyDescent="0.25">
      <c r="A142" s="39"/>
      <c r="B142" s="123"/>
      <c r="C142" s="120">
        <f t="shared" si="44"/>
        <v>-2.0000000000000005E-3</v>
      </c>
      <c r="D142" s="120">
        <f t="shared" si="26"/>
        <v>6.7500000000000004E-2</v>
      </c>
      <c r="E142" s="120">
        <f t="shared" si="36"/>
        <v>2.6615853658536535E-3</v>
      </c>
      <c r="F142" s="121" t="s">
        <v>107</v>
      </c>
      <c r="G142" s="122">
        <f t="shared" si="42"/>
        <v>18.877697841726672</v>
      </c>
      <c r="H142" s="97">
        <f t="shared" si="37"/>
        <v>22.13333333333334</v>
      </c>
      <c r="I142" s="97">
        <f t="shared" si="38"/>
        <v>27.666666666666675</v>
      </c>
      <c r="J142" s="97">
        <f t="shared" si="39"/>
        <v>0.3809523809523811</v>
      </c>
      <c r="K142" s="97">
        <f t="shared" si="43"/>
        <v>0.37500000000000011</v>
      </c>
      <c r="L142" s="96">
        <f t="shared" si="28"/>
        <v>737591.31866890797</v>
      </c>
      <c r="M142" s="124">
        <f t="shared" si="40"/>
        <v>-40588.848235697282</v>
      </c>
      <c r="N142" s="96">
        <f t="shared" si="29"/>
        <v>737591.31866890797</v>
      </c>
      <c r="O142" s="124">
        <f t="shared" si="35"/>
        <v>1434593.7891021187</v>
      </c>
      <c r="P142" s="124">
        <f t="shared" si="41"/>
        <v>13918762.877717614</v>
      </c>
      <c r="Q142" s="97">
        <f t="shared" si="30"/>
        <v>-0.38747001702166967</v>
      </c>
      <c r="R142" s="97">
        <f t="shared" si="31"/>
        <v>4.8710756910226661E-3</v>
      </c>
      <c r="S142" s="71">
        <f t="shared" si="32"/>
        <v>-4.8710756910226661E-3</v>
      </c>
      <c r="T142" s="98">
        <f t="shared" si="20"/>
        <v>9.702232773800775</v>
      </c>
      <c r="U142" s="99">
        <f t="shared" si="21"/>
        <v>1.47899889844524E-2</v>
      </c>
      <c r="V142" s="93" t="str">
        <f t="shared" si="33"/>
        <v>SI</v>
      </c>
      <c r="W142" s="95">
        <f t="shared" si="22"/>
        <v>-1434.5937891021188</v>
      </c>
      <c r="X142" s="95">
        <f t="shared" si="23"/>
        <v>13.918762877717613</v>
      </c>
      <c r="Y142" s="95">
        <f t="shared" si="24"/>
        <v>-13.918762877717613</v>
      </c>
      <c r="Z142" s="95">
        <f t="shared" si="25"/>
        <v>1475.182637337816</v>
      </c>
      <c r="AA142" s="93" t="str">
        <f t="shared" si="34"/>
        <v/>
      </c>
      <c r="AB142" s="100"/>
      <c r="AC142" s="71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</row>
    <row r="143" spans="1:46" ht="18.75" x14ac:dyDescent="0.25">
      <c r="A143" s="39"/>
      <c r="B143" s="123"/>
      <c r="C143" s="120">
        <f t="shared" si="44"/>
        <v>-2.1000000000000003E-3</v>
      </c>
      <c r="D143" s="120">
        <f t="shared" si="26"/>
        <v>6.7500000000000004E-2</v>
      </c>
      <c r="E143" s="120">
        <f t="shared" si="36"/>
        <v>2.568292682926823E-3</v>
      </c>
      <c r="F143" s="121" t="s">
        <v>107</v>
      </c>
      <c r="G143" s="122">
        <f t="shared" si="42"/>
        <v>19.793103448275929</v>
      </c>
      <c r="H143" s="97">
        <f t="shared" ref="H143:H157" si="45">$H$142+$I$10*((-C143)-(-$C$142))*10^3</f>
        <v>23.793333333333337</v>
      </c>
      <c r="I143" s="97">
        <f t="shared" ref="I143:I157" si="46">$I$142+$I$10/2*((-C143*10^3)^2-(-$C$142*10^3)^2)</f>
        <v>31.069666666666659</v>
      </c>
      <c r="J143" s="97">
        <f t="shared" si="39"/>
        <v>0.40952380952380962</v>
      </c>
      <c r="K143" s="97">
        <f t="shared" si="43"/>
        <v>0.37818383167220393</v>
      </c>
      <c r="L143" s="96">
        <f t="shared" si="28"/>
        <v>737591.31866890797</v>
      </c>
      <c r="M143" s="124">
        <f t="shared" si="40"/>
        <v>-45748.836781609352</v>
      </c>
      <c r="N143" s="96">
        <f t="shared" si="29"/>
        <v>737591.31866890797</v>
      </c>
      <c r="O143" s="124">
        <f t="shared" si="35"/>
        <v>1429433.8005562066</v>
      </c>
      <c r="P143" s="124">
        <f t="shared" si="41"/>
        <v>15669643.080354124</v>
      </c>
      <c r="Q143" s="97">
        <f t="shared" si="30"/>
        <v>-0.386076353627262</v>
      </c>
      <c r="R143" s="97">
        <f t="shared" si="31"/>
        <v>5.4838219579059818E-3</v>
      </c>
      <c r="S143" s="71">
        <f t="shared" si="32"/>
        <v>-5.4838219579059818E-3</v>
      </c>
      <c r="T143" s="98">
        <f t="shared" si="20"/>
        <v>10.962132750923416</v>
      </c>
      <c r="U143" s="99">
        <f t="shared" si="21"/>
        <v>1.671056821787106E-2</v>
      </c>
      <c r="V143" s="93" t="str">
        <f t="shared" si="33"/>
        <v>SI</v>
      </c>
      <c r="W143" s="95">
        <f t="shared" si="22"/>
        <v>-1429.4338005562065</v>
      </c>
      <c r="X143" s="95">
        <f t="shared" si="23"/>
        <v>15.669643080354124</v>
      </c>
      <c r="Y143" s="95">
        <f t="shared" si="24"/>
        <v>-15.669643080354124</v>
      </c>
      <c r="Z143" s="95">
        <f t="shared" si="25"/>
        <v>1475.182637337816</v>
      </c>
      <c r="AA143" s="93" t="str">
        <f t="shared" si="34"/>
        <v/>
      </c>
      <c r="AB143" s="100"/>
      <c r="AC143" s="71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</row>
    <row r="144" spans="1:46" ht="18.75" x14ac:dyDescent="0.25">
      <c r="A144" s="39"/>
      <c r="B144" s="123"/>
      <c r="C144" s="120">
        <f t="shared" si="44"/>
        <v>-2.2000000000000001E-3</v>
      </c>
      <c r="D144" s="120">
        <f t="shared" si="26"/>
        <v>6.7500000000000004E-2</v>
      </c>
      <c r="E144" s="120">
        <f t="shared" si="36"/>
        <v>2.4750000000000076E-3</v>
      </c>
      <c r="F144" s="121" t="s">
        <v>107</v>
      </c>
      <c r="G144" s="122">
        <f t="shared" si="42"/>
        <v>20.705882352941103</v>
      </c>
      <c r="H144" s="97">
        <f t="shared" si="45"/>
        <v>25.453333333333333</v>
      </c>
      <c r="I144" s="97">
        <f t="shared" si="46"/>
        <v>34.638666666666666</v>
      </c>
      <c r="J144" s="97">
        <f t="shared" si="39"/>
        <v>0.43809523809523815</v>
      </c>
      <c r="K144" s="97">
        <f t="shared" si="43"/>
        <v>0.3814229249011859</v>
      </c>
      <c r="L144" s="96">
        <f t="shared" si="28"/>
        <v>737591.31866890797</v>
      </c>
      <c r="M144" s="124">
        <f t="shared" si="40"/>
        <v>-51197.561904761722</v>
      </c>
      <c r="N144" s="96">
        <f t="shared" si="29"/>
        <v>737591.31866890797</v>
      </c>
      <c r="O144" s="124">
        <f t="shared" si="35"/>
        <v>1423985.0754330542</v>
      </c>
      <c r="P144" s="124">
        <f t="shared" si="41"/>
        <v>17514803.773669392</v>
      </c>
      <c r="Q144" s="97">
        <f t="shared" si="30"/>
        <v>-0.38460470525386731</v>
      </c>
      <c r="R144" s="97">
        <f t="shared" si="31"/>
        <v>6.1295630685349435E-3</v>
      </c>
      <c r="S144" s="71">
        <f t="shared" si="32"/>
        <v>-6.1295630685349435E-3</v>
      </c>
      <c r="T144" s="98">
        <f t="shared" si="20"/>
        <v>12.299850662650302</v>
      </c>
      <c r="U144" s="99">
        <f t="shared" si="21"/>
        <v>1.8749772351601069E-2</v>
      </c>
      <c r="V144" s="93" t="str">
        <f t="shared" si="33"/>
        <v>SI</v>
      </c>
      <c r="W144" s="95">
        <f t="shared" si="22"/>
        <v>-1423.9850754330541</v>
      </c>
      <c r="X144" s="95">
        <f t="shared" si="23"/>
        <v>17.514803773669392</v>
      </c>
      <c r="Y144" s="95">
        <f t="shared" si="24"/>
        <v>-17.514803773669392</v>
      </c>
      <c r="Z144" s="95">
        <f t="shared" si="25"/>
        <v>1475.182637337816</v>
      </c>
      <c r="AA144" s="93" t="str">
        <f t="shared" si="34"/>
        <v/>
      </c>
      <c r="AB144" s="100"/>
      <c r="AC144" s="71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</row>
    <row r="145" spans="1:46" ht="18.75" x14ac:dyDescent="0.25">
      <c r="A145" s="39"/>
      <c r="B145" s="39"/>
      <c r="C145" s="94">
        <f t="shared" si="44"/>
        <v>-2.3E-3</v>
      </c>
      <c r="D145" s="94">
        <f t="shared" si="26"/>
        <v>6.7500000000000004E-2</v>
      </c>
      <c r="E145" s="94">
        <f t="shared" si="36"/>
        <v>2.3817073170731718E-3</v>
      </c>
      <c r="F145" s="93" t="s">
        <v>107</v>
      </c>
      <c r="G145" s="95">
        <f t="shared" si="42"/>
        <v>21.616045845272197</v>
      </c>
      <c r="H145" s="71">
        <f t="shared" si="45"/>
        <v>27.11333333333333</v>
      </c>
      <c r="I145" s="71">
        <f t="shared" si="46"/>
        <v>38.373666666666651</v>
      </c>
      <c r="J145" s="71">
        <f t="shared" si="39"/>
        <v>0.46666666666666667</v>
      </c>
      <c r="K145" s="71">
        <f t="shared" si="43"/>
        <v>0.38464951197870467</v>
      </c>
      <c r="L145" s="96">
        <f t="shared" si="28"/>
        <v>737591.31866890797</v>
      </c>
      <c r="M145" s="96">
        <f t="shared" si="40"/>
        <v>-56933.782617000928</v>
      </c>
      <c r="N145" s="96">
        <f t="shared" si="29"/>
        <v>737591.31866890797</v>
      </c>
      <c r="O145" s="96">
        <f t="shared" si="35"/>
        <v>1418248.8547208151</v>
      </c>
      <c r="P145" s="96">
        <f t="shared" si="41"/>
        <v>19453442.202439636</v>
      </c>
      <c r="Q145" s="97">
        <f t="shared" si="30"/>
        <v>-0.38305540708047814</v>
      </c>
      <c r="R145" s="97">
        <f t="shared" si="31"/>
        <v>6.8080180869175546E-3</v>
      </c>
      <c r="S145" s="71">
        <f t="shared" si="32"/>
        <v>-6.8080180869175546E-3</v>
      </c>
      <c r="T145" s="98">
        <f t="shared" si="20"/>
        <v>13.716522412612195</v>
      </c>
      <c r="U145" s="99">
        <f t="shared" si="21"/>
        <v>2.0909332946055174E-2</v>
      </c>
      <c r="V145" s="93" t="str">
        <f t="shared" si="33"/>
        <v>SI</v>
      </c>
      <c r="W145" s="95">
        <f t="shared" si="22"/>
        <v>-1418.2488547208152</v>
      </c>
      <c r="X145" s="95">
        <f t="shared" si="23"/>
        <v>19.453442202439636</v>
      </c>
      <c r="Y145" s="95">
        <f t="shared" si="24"/>
        <v>-19.453442202439636</v>
      </c>
      <c r="Z145" s="95">
        <f t="shared" si="25"/>
        <v>1475.182637337816</v>
      </c>
      <c r="AA145" s="93" t="str">
        <f t="shared" si="34"/>
        <v/>
      </c>
      <c r="AB145" s="100"/>
      <c r="AC145" s="71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</row>
    <row r="146" spans="1:46" ht="18.75" x14ac:dyDescent="0.25">
      <c r="A146" s="39"/>
      <c r="B146" s="39"/>
      <c r="C146" s="94">
        <f t="shared" si="44"/>
        <v>-2.3999999999999998E-3</v>
      </c>
      <c r="D146" s="94">
        <f t="shared" si="26"/>
        <v>6.7500000000000004E-2</v>
      </c>
      <c r="E146" s="94">
        <f t="shared" si="36"/>
        <v>2.2884146341463386E-3</v>
      </c>
      <c r="F146" s="93" t="s">
        <v>107</v>
      </c>
      <c r="G146" s="95">
        <f t="shared" si="42"/>
        <v>22.523605150214621</v>
      </c>
      <c r="H146" s="71">
        <f t="shared" si="45"/>
        <v>28.773333333333326</v>
      </c>
      <c r="I146" s="71">
        <f t="shared" si="46"/>
        <v>42.274666666666654</v>
      </c>
      <c r="J146" s="71">
        <f t="shared" si="39"/>
        <v>0.49523809523809514</v>
      </c>
      <c r="K146" s="71">
        <f t="shared" si="43"/>
        <v>0.38782051282051289</v>
      </c>
      <c r="L146" s="96">
        <f t="shared" si="28"/>
        <v>737591.31866890797</v>
      </c>
      <c r="M146" s="96">
        <f t="shared" si="40"/>
        <v>-62956.265031677969</v>
      </c>
      <c r="N146" s="96">
        <f t="shared" si="29"/>
        <v>737591.31866890797</v>
      </c>
      <c r="O146" s="96">
        <f t="shared" si="35"/>
        <v>1412226.3723061378</v>
      </c>
      <c r="P146" s="96">
        <f t="shared" si="41"/>
        <v>21484762.476818055</v>
      </c>
      <c r="Q146" s="97">
        <f t="shared" si="30"/>
        <v>-0.38142879236803873</v>
      </c>
      <c r="R146" s="97">
        <f t="shared" si="31"/>
        <v>7.5189084797014239E-3</v>
      </c>
      <c r="S146" s="71">
        <f t="shared" si="32"/>
        <v>-7.5189084797014239E-3</v>
      </c>
      <c r="T146" s="98">
        <f t="shared" si="20"/>
        <v>15.213398431112614</v>
      </c>
      <c r="U146" s="99">
        <f t="shared" si="21"/>
        <v>2.3191156144988741E-2</v>
      </c>
      <c r="V146" s="93" t="str">
        <f t="shared" si="33"/>
        <v>SI</v>
      </c>
      <c r="W146" s="95">
        <f t="shared" si="22"/>
        <v>-1412.2263723061378</v>
      </c>
      <c r="X146" s="95">
        <f t="shared" si="23"/>
        <v>21.484762476818055</v>
      </c>
      <c r="Y146" s="95">
        <f t="shared" si="24"/>
        <v>-21.484762476818055</v>
      </c>
      <c r="Z146" s="95">
        <f t="shared" si="25"/>
        <v>1475.182637337816</v>
      </c>
      <c r="AA146" s="93" t="str">
        <f t="shared" si="34"/>
        <v/>
      </c>
      <c r="AB146" s="100"/>
      <c r="AC146" s="71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</row>
    <row r="147" spans="1:46" ht="18.75" x14ac:dyDescent="0.25">
      <c r="A147" s="39"/>
      <c r="B147" s="39"/>
      <c r="C147" s="94">
        <f t="shared" si="44"/>
        <v>-2.4999999999999996E-3</v>
      </c>
      <c r="D147" s="94">
        <f t="shared" si="26"/>
        <v>6.7500000000000004E-2</v>
      </c>
      <c r="E147" s="94">
        <f t="shared" si="36"/>
        <v>2.1951219512195107E-3</v>
      </c>
      <c r="F147" s="93" t="s">
        <v>107</v>
      </c>
      <c r="G147" s="95">
        <f t="shared" si="42"/>
        <v>23.428571428571445</v>
      </c>
      <c r="H147" s="71">
        <f t="shared" si="45"/>
        <v>30.433333333333323</v>
      </c>
      <c r="I147" s="71">
        <f t="shared" si="46"/>
        <v>46.34166666666664</v>
      </c>
      <c r="J147" s="71">
        <f t="shared" si="39"/>
        <v>0.52380952380952372</v>
      </c>
      <c r="K147" s="71">
        <f t="shared" si="43"/>
        <v>0.39090909090909087</v>
      </c>
      <c r="L147" s="96">
        <f t="shared" si="28"/>
        <v>737591.31866890797</v>
      </c>
      <c r="M147" s="96">
        <f t="shared" si="40"/>
        <v>-69263.782312925192</v>
      </c>
      <c r="N147" s="96">
        <f t="shared" si="29"/>
        <v>737591.31866890797</v>
      </c>
      <c r="O147" s="96">
        <f t="shared" si="35"/>
        <v>1405918.8550248907</v>
      </c>
      <c r="P147" s="96">
        <f t="shared" si="41"/>
        <v>23607975.507094264</v>
      </c>
      <c r="Q147" s="97">
        <f t="shared" si="30"/>
        <v>-0.37972519247314523</v>
      </c>
      <c r="R147" s="97">
        <f t="shared" si="31"/>
        <v>8.261958093341867E-3</v>
      </c>
      <c r="S147" s="71">
        <f t="shared" si="32"/>
        <v>-8.261958093341867E-3</v>
      </c>
      <c r="T147" s="98">
        <f t="shared" si="20"/>
        <v>16.791847852894968</v>
      </c>
      <c r="U147" s="99">
        <f t="shared" si="21"/>
        <v>2.5597329044047205E-2</v>
      </c>
      <c r="V147" s="93" t="str">
        <f t="shared" si="33"/>
        <v>SI</v>
      </c>
      <c r="W147" s="95">
        <f t="shared" si="22"/>
        <v>-1405.9188550248907</v>
      </c>
      <c r="X147" s="95">
        <f t="shared" si="23"/>
        <v>23.607975507094263</v>
      </c>
      <c r="Y147" s="95">
        <f t="shared" si="24"/>
        <v>-23.607975507094263</v>
      </c>
      <c r="Z147" s="95">
        <f t="shared" si="25"/>
        <v>1475.182637337816</v>
      </c>
      <c r="AA147" s="93" t="str">
        <f t="shared" si="34"/>
        <v/>
      </c>
      <c r="AB147" s="100"/>
      <c r="AC147" s="71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</row>
    <row r="148" spans="1:46" ht="18.75" x14ac:dyDescent="0.25">
      <c r="A148" s="39"/>
      <c r="B148" s="39"/>
      <c r="C148" s="94">
        <f t="shared" si="44"/>
        <v>-2.5999999999999994E-3</v>
      </c>
      <c r="D148" s="94">
        <f t="shared" si="26"/>
        <v>6.7500000000000004E-2</v>
      </c>
      <c r="E148" s="94">
        <f t="shared" si="36"/>
        <v>2.1018292682926727E-3</v>
      </c>
      <c r="F148" s="93" t="s">
        <v>107</v>
      </c>
      <c r="G148" s="95">
        <f t="shared" si="42"/>
        <v>24.330955777460872</v>
      </c>
      <c r="H148" s="71">
        <f t="shared" si="45"/>
        <v>32.09333333333332</v>
      </c>
      <c r="I148" s="71">
        <f t="shared" si="46"/>
        <v>50.574666666666644</v>
      </c>
      <c r="J148" s="71">
        <f t="shared" si="39"/>
        <v>0.55238095238095219</v>
      </c>
      <c r="K148" s="71">
        <f t="shared" si="43"/>
        <v>0.3938992042440318</v>
      </c>
      <c r="L148" s="96">
        <f t="shared" si="28"/>
        <v>737591.31866890797</v>
      </c>
      <c r="M148" s="96">
        <f t="shared" si="40"/>
        <v>-75855.114625365401</v>
      </c>
      <c r="N148" s="96">
        <f t="shared" si="29"/>
        <v>737591.31866890797</v>
      </c>
      <c r="O148" s="96">
        <f t="shared" si="35"/>
        <v>1399327.5227124505</v>
      </c>
      <c r="P148" s="96">
        <f t="shared" si="41"/>
        <v>25822298.939149946</v>
      </c>
      <c r="Q148" s="97">
        <f t="shared" si="30"/>
        <v>-0.37794493686162806</v>
      </c>
      <c r="R148" s="97">
        <f t="shared" si="31"/>
        <v>9.0368931315136652E-3</v>
      </c>
      <c r="S148" s="71">
        <f t="shared" si="32"/>
        <v>-9.0368931315136652E-3</v>
      </c>
      <c r="T148" s="98">
        <f t="shared" si="20"/>
        <v>18.453363147675471</v>
      </c>
      <c r="U148" s="99">
        <f t="shared" si="21"/>
        <v>2.8130126749505293E-2</v>
      </c>
      <c r="V148" s="93" t="str">
        <f t="shared" si="33"/>
        <v>SI</v>
      </c>
      <c r="W148" s="95">
        <f t="shared" si="22"/>
        <v>-1399.3275227124504</v>
      </c>
      <c r="X148" s="95">
        <f t="shared" si="23"/>
        <v>25.822298939149945</v>
      </c>
      <c r="Y148" s="95">
        <f t="shared" si="24"/>
        <v>-25.822298939149945</v>
      </c>
      <c r="Z148" s="95">
        <f t="shared" si="25"/>
        <v>1475.182637337816</v>
      </c>
      <c r="AA148" s="93" t="str">
        <f t="shared" si="34"/>
        <v/>
      </c>
      <c r="AB148" s="100"/>
      <c r="AC148" s="71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</row>
    <row r="149" spans="1:46" ht="18.75" x14ac:dyDescent="0.25">
      <c r="A149" s="39"/>
      <c r="B149" s="39"/>
      <c r="C149" s="94">
        <f t="shared" si="44"/>
        <v>-2.6999999999999993E-3</v>
      </c>
      <c r="D149" s="94">
        <f t="shared" si="26"/>
        <v>6.7500000000000004E-2</v>
      </c>
      <c r="E149" s="94">
        <f t="shared" si="36"/>
        <v>2.0085365853658604E-3</v>
      </c>
      <c r="F149" s="93" t="s">
        <v>107</v>
      </c>
      <c r="G149" s="95">
        <f t="shared" si="42"/>
        <v>25.23076923076917</v>
      </c>
      <c r="H149" s="71">
        <f t="shared" si="45"/>
        <v>33.753333333333316</v>
      </c>
      <c r="I149" s="71">
        <f t="shared" si="46"/>
        <v>54.973666666666631</v>
      </c>
      <c r="J149" s="71">
        <f t="shared" si="39"/>
        <v>0.58095238095238066</v>
      </c>
      <c r="K149" s="71">
        <f t="shared" si="43"/>
        <v>0.39678202792956885</v>
      </c>
      <c r="L149" s="96">
        <f t="shared" si="28"/>
        <v>737591.31866890797</v>
      </c>
      <c r="M149" s="96">
        <f t="shared" si="40"/>
        <v>-82729.049084248836</v>
      </c>
      <c r="N149" s="96">
        <f t="shared" si="29"/>
        <v>737591.31866890797</v>
      </c>
      <c r="O149" s="96">
        <f t="shared" si="35"/>
        <v>1392453.588253567</v>
      </c>
      <c r="P149" s="96">
        <f t="shared" si="41"/>
        <v>28126957.090602368</v>
      </c>
      <c r="Q149" s="97">
        <f t="shared" si="30"/>
        <v>-0.37608835312202021</v>
      </c>
      <c r="R149" s="97">
        <f t="shared" si="31"/>
        <v>9.843442132763551E-3</v>
      </c>
      <c r="S149" s="71">
        <f t="shared" si="32"/>
        <v>-9.843442132763551E-3</v>
      </c>
      <c r="T149" s="98">
        <f t="shared" ref="T149:T212" si="47">P149/O149</f>
        <v>20.199565233538273</v>
      </c>
      <c r="U149" s="99">
        <f t="shared" ref="U149:U212" si="48">T149/$C$13</f>
        <v>3.0792020173076636E-2</v>
      </c>
      <c r="V149" s="93" t="str">
        <f t="shared" si="33"/>
        <v>SI</v>
      </c>
      <c r="W149" s="95">
        <f t="shared" ref="W149:W212" si="49">-O149/10^3</f>
        <v>-1392.453588253567</v>
      </c>
      <c r="X149" s="95">
        <f t="shared" ref="X149:X212" si="50">P149/10^6</f>
        <v>28.126957090602367</v>
      </c>
      <c r="Y149" s="95">
        <f t="shared" ref="Y149:Y212" si="51">-P149/10^6</f>
        <v>-28.126957090602367</v>
      </c>
      <c r="Z149" s="95">
        <f t="shared" ref="Z149:Z212" si="52">(L149+N149)/10^3</f>
        <v>1475.182637337816</v>
      </c>
      <c r="AA149" s="93" t="str">
        <f t="shared" si="34"/>
        <v/>
      </c>
      <c r="AB149" s="100"/>
      <c r="AC149" s="71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</row>
    <row r="150" spans="1:46" ht="18.75" x14ac:dyDescent="0.25">
      <c r="A150" s="39"/>
      <c r="B150" s="39"/>
      <c r="C150" s="94">
        <f t="shared" si="44"/>
        <v>-2.7999999999999991E-3</v>
      </c>
      <c r="D150" s="94">
        <f t="shared" ref="D150:D158" si="53">$M$8*10^-3</f>
        <v>6.7500000000000004E-2</v>
      </c>
      <c r="E150" s="94">
        <f t="shared" si="36"/>
        <v>1.9152439024390292E-3</v>
      </c>
      <c r="F150" s="93" t="s">
        <v>107</v>
      </c>
      <c r="G150" s="95">
        <f t="shared" si="42"/>
        <v>26.128022759601663</v>
      </c>
      <c r="H150" s="71">
        <f t="shared" si="45"/>
        <v>35.413333333333313</v>
      </c>
      <c r="I150" s="71">
        <f t="shared" si="46"/>
        <v>59.5386666666666</v>
      </c>
      <c r="J150" s="71">
        <f t="shared" si="39"/>
        <v>0.60952380952380925</v>
      </c>
      <c r="K150" s="71">
        <f t="shared" si="43"/>
        <v>0.39955357142857151</v>
      </c>
      <c r="L150" s="96">
        <f t="shared" ref="L150:L213" si="54">IF(E150&gt;=($M$10*10^-3),$M$14*$Q$12,IF(E150&gt;=(-$M$10*10^-3),$M$16*E150*$Q$12,-$M$14*$Q$12))</f>
        <v>737591.31866890797</v>
      </c>
      <c r="M150" s="96">
        <f t="shared" si="40"/>
        <v>-89884.379706021602</v>
      </c>
      <c r="N150" s="96">
        <f t="shared" ref="N150:N213" si="55">IF(D150&gt;=($M$10*10^-3),$M$14*$Q$11,IF(D150&gt;=(-$M$10*10^-3),$Q$11*$M$16*D150,-$M$14*$Q$11))</f>
        <v>737591.31866890797</v>
      </c>
      <c r="O150" s="96">
        <f t="shared" si="35"/>
        <v>1385298.2576317943</v>
      </c>
      <c r="P150" s="96">
        <f t="shared" si="41"/>
        <v>30521180.887630343</v>
      </c>
      <c r="Q150" s="97">
        <f t="shared" ref="Q150:Q213" si="56">-O150/($C$6*$C$13*$I$10*$I$16)</f>
        <v>-0.37415576697890773</v>
      </c>
      <c r="R150" s="97">
        <f t="shared" ref="R150:R213" si="57">P150/($C$6*$C$13^2*$I$10)</f>
        <v>1.0681335948401522E-2</v>
      </c>
      <c r="S150" s="71">
        <f t="shared" ref="S150:S213" si="58">-1*R150</f>
        <v>-1.0681335948401522E-2</v>
      </c>
      <c r="T150" s="98">
        <f t="shared" si="47"/>
        <v>22.032209106945061</v>
      </c>
      <c r="U150" s="99">
        <f t="shared" si="48"/>
        <v>3.358568461424552E-2</v>
      </c>
      <c r="V150" s="93" t="str">
        <f t="shared" ref="V150:V213" si="59">IF(T150&gt;=0, IF(T150&lt;=$C$8/6, "SI", "NO"),IF(T150&gt; -$C$8/6, "SI", "NO"))</f>
        <v>SI</v>
      </c>
      <c r="W150" s="95">
        <f t="shared" si="49"/>
        <v>-1385.2982576317943</v>
      </c>
      <c r="X150" s="95">
        <f t="shared" si="50"/>
        <v>30.521180887630344</v>
      </c>
      <c r="Y150" s="95">
        <f t="shared" si="51"/>
        <v>-30.521180887630344</v>
      </c>
      <c r="Z150" s="95">
        <f t="shared" si="52"/>
        <v>1475.182637337816</v>
      </c>
      <c r="AA150" s="93" t="str">
        <f t="shared" ref="AA150:AA213" si="60">IF(Z150&lt;1,IF(Z150&gt;-1,"ROTTURA BILANCIATA",""),"")</f>
        <v/>
      </c>
      <c r="AB150" s="100"/>
      <c r="AC150" s="71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</row>
    <row r="151" spans="1:46" ht="18.75" x14ac:dyDescent="0.25">
      <c r="A151" s="39"/>
      <c r="B151" s="39"/>
      <c r="C151" s="94">
        <f t="shared" si="44"/>
        <v>-2.8999999999999989E-3</v>
      </c>
      <c r="D151" s="94">
        <f t="shared" si="53"/>
        <v>6.7500000000000004E-2</v>
      </c>
      <c r="E151" s="94">
        <f t="shared" si="36"/>
        <v>1.8219512195121973E-3</v>
      </c>
      <c r="F151" s="93" t="s">
        <v>107</v>
      </c>
      <c r="G151" s="95">
        <f t="shared" si="42"/>
        <v>27.022727272727252</v>
      </c>
      <c r="H151" s="71">
        <f t="shared" si="45"/>
        <v>37.073333333333309</v>
      </c>
      <c r="I151" s="71">
        <f t="shared" si="46"/>
        <v>64.269666666666609</v>
      </c>
      <c r="J151" s="71">
        <f t="shared" si="39"/>
        <v>0.63809523809523772</v>
      </c>
      <c r="K151" s="71">
        <f t="shared" si="43"/>
        <v>0.40221307256819339</v>
      </c>
      <c r="L151" s="96">
        <f t="shared" si="54"/>
        <v>718639.25270076294</v>
      </c>
      <c r="M151" s="96">
        <f t="shared" si="40"/>
        <v>-97319.90735930721</v>
      </c>
      <c r="N151" s="96">
        <f t="shared" si="55"/>
        <v>737591.31866890797</v>
      </c>
      <c r="O151" s="96">
        <f t="shared" ref="O151:O214" si="61">L151+M151+N151</f>
        <v>1358910.6640103636</v>
      </c>
      <c r="P151" s="96">
        <f t="shared" si="41"/>
        <v>39220485.440021038</v>
      </c>
      <c r="Q151" s="97">
        <f t="shared" si="56"/>
        <v>-0.36702873113968537</v>
      </c>
      <c r="R151" s="97">
        <f t="shared" si="57"/>
        <v>1.3725785466382085E-2</v>
      </c>
      <c r="S151" s="71">
        <f t="shared" si="58"/>
        <v>-1.3725785466382085E-2</v>
      </c>
      <c r="T151" s="98">
        <f t="shared" si="47"/>
        <v>28.861709955439665</v>
      </c>
      <c r="U151" s="99">
        <f t="shared" si="48"/>
        <v>4.3996509078414126E-2</v>
      </c>
      <c r="V151" s="93" t="str">
        <f t="shared" si="59"/>
        <v>SI</v>
      </c>
      <c r="W151" s="95">
        <f t="shared" si="49"/>
        <v>-1358.9106640103637</v>
      </c>
      <c r="X151" s="95">
        <f t="shared" si="50"/>
        <v>39.220485440021037</v>
      </c>
      <c r="Y151" s="95">
        <f t="shared" si="51"/>
        <v>-39.220485440021037</v>
      </c>
      <c r="Z151" s="95">
        <f t="shared" si="52"/>
        <v>1456.2305713696708</v>
      </c>
      <c r="AA151" s="93" t="str">
        <f t="shared" si="60"/>
        <v/>
      </c>
      <c r="AB151" s="100"/>
      <c r="AC151" s="71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</row>
    <row r="152" spans="1:46" ht="18.75" x14ac:dyDescent="0.25">
      <c r="A152" s="39"/>
      <c r="B152" s="39"/>
      <c r="C152" s="94">
        <f t="shared" si="44"/>
        <v>-2.9999999999999988E-3</v>
      </c>
      <c r="D152" s="94">
        <f t="shared" si="53"/>
        <v>6.7500000000000004E-2</v>
      </c>
      <c r="E152" s="94">
        <f t="shared" si="36"/>
        <v>1.7286585365853598E-3</v>
      </c>
      <c r="F152" s="93" t="s">
        <v>107</v>
      </c>
      <c r="G152" s="95">
        <f t="shared" si="42"/>
        <v>27.914893617021335</v>
      </c>
      <c r="H152" s="71">
        <f t="shared" si="45"/>
        <v>38.733333333333306</v>
      </c>
      <c r="I152" s="71">
        <f t="shared" si="46"/>
        <v>69.1666666666666</v>
      </c>
      <c r="J152" s="71">
        <f t="shared" si="39"/>
        <v>0.6666666666666663</v>
      </c>
      <c r="K152" s="71">
        <f t="shared" si="43"/>
        <v>0.40476190476190466</v>
      </c>
      <c r="L152" s="96">
        <f t="shared" si="54"/>
        <v>681841.45964078081</v>
      </c>
      <c r="M152" s="96">
        <f t="shared" si="40"/>
        <v>-105034.4397163122</v>
      </c>
      <c r="N152" s="96">
        <f t="shared" si="55"/>
        <v>737591.31866890797</v>
      </c>
      <c r="O152" s="96">
        <f t="shared" si="61"/>
        <v>1314398.3385933766</v>
      </c>
      <c r="P152" s="96">
        <f t="shared" si="41"/>
        <v>53861235.55279994</v>
      </c>
      <c r="Q152" s="97">
        <f t="shared" si="56"/>
        <v>-0.3550063791554427</v>
      </c>
      <c r="R152" s="97">
        <f t="shared" si="57"/>
        <v>1.8849531204364584E-2</v>
      </c>
      <c r="S152" s="71">
        <f t="shared" si="58"/>
        <v>-1.8849531204364584E-2</v>
      </c>
      <c r="T152" s="98">
        <f t="shared" si="47"/>
        <v>40.977863385342047</v>
      </c>
      <c r="U152" s="99">
        <f t="shared" si="48"/>
        <v>6.2466255160582386E-2</v>
      </c>
      <c r="V152" s="93" t="str">
        <f t="shared" si="59"/>
        <v>SI</v>
      </c>
      <c r="W152" s="95">
        <f t="shared" si="49"/>
        <v>-1314.3983385933766</v>
      </c>
      <c r="X152" s="95">
        <f t="shared" si="50"/>
        <v>53.86123555279994</v>
      </c>
      <c r="Y152" s="95">
        <f t="shared" si="51"/>
        <v>-53.86123555279994</v>
      </c>
      <c r="Z152" s="95">
        <f t="shared" si="52"/>
        <v>1419.432778309689</v>
      </c>
      <c r="AA152" s="93" t="str">
        <f t="shared" si="60"/>
        <v/>
      </c>
      <c r="AB152" s="100"/>
      <c r="AC152" s="71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</row>
    <row r="153" spans="1:46" ht="18.75" x14ac:dyDescent="0.25">
      <c r="A153" s="39"/>
      <c r="B153" s="39"/>
      <c r="C153" s="94">
        <f t="shared" si="44"/>
        <v>-3.0999999999999986E-3</v>
      </c>
      <c r="D153" s="94">
        <f t="shared" si="53"/>
        <v>6.7500000000000004E-2</v>
      </c>
      <c r="E153" s="94">
        <f t="shared" si="36"/>
        <v>1.635365853658544E-3</v>
      </c>
      <c r="F153" s="93" t="s">
        <v>107</v>
      </c>
      <c r="G153" s="95">
        <f t="shared" si="42"/>
        <v>28.804532577903615</v>
      </c>
      <c r="H153" s="71">
        <f t="shared" si="45"/>
        <v>40.393333333333302</v>
      </c>
      <c r="I153" s="71">
        <f t="shared" si="46"/>
        <v>74.229666666666589</v>
      </c>
      <c r="J153" s="71">
        <f t="shared" si="39"/>
        <v>0.69523809523809477</v>
      </c>
      <c r="K153" s="71">
        <f t="shared" si="43"/>
        <v>0.40720282810428632</v>
      </c>
      <c r="L153" s="96">
        <f t="shared" si="54"/>
        <v>645043.66658080742</v>
      </c>
      <c r="M153" s="96">
        <f t="shared" si="40"/>
        <v>-113026.79120464015</v>
      </c>
      <c r="N153" s="96">
        <f t="shared" si="55"/>
        <v>737591.31866890797</v>
      </c>
      <c r="O153" s="96">
        <f t="shared" si="61"/>
        <v>1269608.1940450752</v>
      </c>
      <c r="P153" s="96">
        <f t="shared" si="41"/>
        <v>68589283.119331598</v>
      </c>
      <c r="Q153" s="97">
        <f t="shared" si="56"/>
        <v>-0.34290899088960097</v>
      </c>
      <c r="R153" s="97">
        <f t="shared" si="57"/>
        <v>2.4003827969661731E-2</v>
      </c>
      <c r="S153" s="71">
        <f t="shared" si="58"/>
        <v>-2.4003827969661731E-2</v>
      </c>
      <c r="T153" s="98">
        <f t="shared" si="47"/>
        <v>54.023976405508655</v>
      </c>
      <c r="U153" s="99">
        <f t="shared" si="48"/>
        <v>8.2353622569372953E-2</v>
      </c>
      <c r="V153" s="93" t="str">
        <f t="shared" si="59"/>
        <v>SI</v>
      </c>
      <c r="W153" s="95">
        <f t="shared" si="49"/>
        <v>-1269.6081940450752</v>
      </c>
      <c r="X153" s="95">
        <f t="shared" si="50"/>
        <v>68.589283119331597</v>
      </c>
      <c r="Y153" s="95">
        <f t="shared" si="51"/>
        <v>-68.589283119331597</v>
      </c>
      <c r="Z153" s="95">
        <f t="shared" si="52"/>
        <v>1382.6349852497153</v>
      </c>
      <c r="AA153" s="93" t="str">
        <f t="shared" si="60"/>
        <v/>
      </c>
      <c r="AB153" s="100"/>
      <c r="AC153" s="71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</row>
    <row r="154" spans="1:46" ht="18.75" x14ac:dyDescent="0.25">
      <c r="A154" s="39"/>
      <c r="B154" s="39"/>
      <c r="C154" s="94">
        <f t="shared" si="44"/>
        <v>-3.1999999999999984E-3</v>
      </c>
      <c r="D154" s="94">
        <f t="shared" si="53"/>
        <v>6.7500000000000004E-2</v>
      </c>
      <c r="E154" s="94">
        <f t="shared" si="36"/>
        <v>1.542073170731713E-3</v>
      </c>
      <c r="F154" s="93" t="s">
        <v>107</v>
      </c>
      <c r="G154" s="95">
        <f t="shared" si="42"/>
        <v>29.691654879773637</v>
      </c>
      <c r="H154" s="71">
        <f t="shared" si="45"/>
        <v>42.053333333333299</v>
      </c>
      <c r="I154" s="71">
        <f t="shared" si="46"/>
        <v>79.458666666666574</v>
      </c>
      <c r="J154" s="71">
        <f t="shared" si="39"/>
        <v>0.72380952380952324</v>
      </c>
      <c r="K154" s="71">
        <f t="shared" si="43"/>
        <v>0.4095394736842104</v>
      </c>
      <c r="L154" s="96">
        <f t="shared" si="54"/>
        <v>608245.87352082797</v>
      </c>
      <c r="M154" s="96">
        <f t="shared" si="40"/>
        <v>-121295.7829595201</v>
      </c>
      <c r="N154" s="96">
        <f t="shared" si="55"/>
        <v>737591.31866890797</v>
      </c>
      <c r="O154" s="96">
        <f t="shared" si="61"/>
        <v>1224541.4092302159</v>
      </c>
      <c r="P154" s="96">
        <f t="shared" si="41"/>
        <v>83403884.881613642</v>
      </c>
      <c r="Q154" s="97">
        <f t="shared" si="56"/>
        <v>-0.33073688474221929</v>
      </c>
      <c r="R154" s="97">
        <f t="shared" si="57"/>
        <v>2.918841564820884E-2</v>
      </c>
      <c r="S154" s="71">
        <f t="shared" si="58"/>
        <v>-2.918841564820884E-2</v>
      </c>
      <c r="T154" s="98">
        <f t="shared" si="47"/>
        <v>68.110301744751837</v>
      </c>
      <c r="U154" s="99">
        <f t="shared" si="48"/>
        <v>0.10382667948895097</v>
      </c>
      <c r="V154" s="93" t="str">
        <f t="shared" si="59"/>
        <v>SI</v>
      </c>
      <c r="W154" s="95">
        <f t="shared" si="49"/>
        <v>-1224.541409230216</v>
      </c>
      <c r="X154" s="95">
        <f t="shared" si="50"/>
        <v>83.403884881613635</v>
      </c>
      <c r="Y154" s="95">
        <f t="shared" si="51"/>
        <v>-83.403884881613635</v>
      </c>
      <c r="Z154" s="95">
        <f t="shared" si="52"/>
        <v>1345.8371921897358</v>
      </c>
      <c r="AA154" s="93" t="str">
        <f t="shared" si="60"/>
        <v/>
      </c>
      <c r="AB154" s="100"/>
      <c r="AC154" s="71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</row>
    <row r="155" spans="1:46" ht="18.75" x14ac:dyDescent="0.25">
      <c r="A155" s="39"/>
      <c r="B155" s="39"/>
      <c r="C155" s="94">
        <f t="shared" si="44"/>
        <v>-3.2999999999999982E-3</v>
      </c>
      <c r="D155" s="94">
        <f t="shared" si="53"/>
        <v>6.7500000000000004E-2</v>
      </c>
      <c r="E155" s="94">
        <f t="shared" si="36"/>
        <v>1.4487804878048826E-3</v>
      </c>
      <c r="F155" s="93" t="s">
        <v>107</v>
      </c>
      <c r="G155" s="95">
        <f t="shared" si="42"/>
        <v>30.576271186440636</v>
      </c>
      <c r="H155" s="71">
        <f t="shared" si="45"/>
        <v>43.713333333333296</v>
      </c>
      <c r="I155" s="71">
        <f t="shared" si="46"/>
        <v>84.853666666666541</v>
      </c>
      <c r="J155" s="71">
        <f t="shared" si="39"/>
        <v>0.75238095238095182</v>
      </c>
      <c r="K155" s="71">
        <f t="shared" si="43"/>
        <v>0.41177598772535484</v>
      </c>
      <c r="L155" s="96">
        <f t="shared" si="54"/>
        <v>571448.08046084875</v>
      </c>
      <c r="M155" s="96">
        <f t="shared" si="40"/>
        <v>-129840.24277643229</v>
      </c>
      <c r="N155" s="96">
        <f t="shared" si="55"/>
        <v>737591.31866890797</v>
      </c>
      <c r="O155" s="96">
        <f t="shared" si="61"/>
        <v>1179199.1563533244</v>
      </c>
      <c r="P155" s="96">
        <f t="shared" si="41"/>
        <v>98304303.884244889</v>
      </c>
      <c r="Q155" s="97">
        <f t="shared" si="56"/>
        <v>-0.31849037731449237</v>
      </c>
      <c r="R155" s="97">
        <f t="shared" si="57"/>
        <v>3.4403036331629167E-2</v>
      </c>
      <c r="S155" s="71">
        <f t="shared" si="58"/>
        <v>-3.4403036331629167E-2</v>
      </c>
      <c r="T155" s="98">
        <f t="shared" si="47"/>
        <v>83.365310562340568</v>
      </c>
      <c r="U155" s="99">
        <f t="shared" si="48"/>
        <v>0.12708126610112891</v>
      </c>
      <c r="V155" s="93" t="str">
        <f t="shared" si="59"/>
        <v>SI</v>
      </c>
      <c r="W155" s="95">
        <f t="shared" si="49"/>
        <v>-1179.1991563533245</v>
      </c>
      <c r="X155" s="95">
        <f t="shared" si="50"/>
        <v>98.304303884244888</v>
      </c>
      <c r="Y155" s="95">
        <f t="shared" si="51"/>
        <v>-98.304303884244888</v>
      </c>
      <c r="Z155" s="95">
        <f t="shared" si="52"/>
        <v>1309.0393991297567</v>
      </c>
      <c r="AA155" s="93" t="str">
        <f t="shared" si="60"/>
        <v/>
      </c>
      <c r="AB155" s="100"/>
      <c r="AC155" s="71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</row>
    <row r="156" spans="1:46" ht="18.75" x14ac:dyDescent="0.25">
      <c r="A156" s="39"/>
      <c r="B156" s="39"/>
      <c r="C156" s="94">
        <f t="shared" si="44"/>
        <v>-3.3999999999999981E-3</v>
      </c>
      <c r="D156" s="94">
        <f t="shared" si="53"/>
        <v>6.7500000000000004E-2</v>
      </c>
      <c r="E156" s="94">
        <f t="shared" si="36"/>
        <v>1.3554878048780518E-3</v>
      </c>
      <c r="F156" s="93" t="s">
        <v>107</v>
      </c>
      <c r="G156" s="95">
        <f t="shared" si="42"/>
        <v>31.458392101551453</v>
      </c>
      <c r="H156" s="71">
        <f t="shared" si="45"/>
        <v>45.373333333333299</v>
      </c>
      <c r="I156" s="71">
        <f t="shared" si="46"/>
        <v>90.414666666666548</v>
      </c>
      <c r="J156" s="71">
        <f t="shared" si="39"/>
        <v>0.7809523809523804</v>
      </c>
      <c r="K156" s="71">
        <f t="shared" si="43"/>
        <v>0.41391678622668582</v>
      </c>
      <c r="L156" s="96">
        <f t="shared" si="54"/>
        <v>534650.28740086942</v>
      </c>
      <c r="M156" s="96">
        <f t="shared" si="40"/>
        <v>-138659.00506414106</v>
      </c>
      <c r="N156" s="96">
        <f t="shared" si="55"/>
        <v>737591.31866890797</v>
      </c>
      <c r="O156" s="96">
        <f t="shared" si="61"/>
        <v>1133582.6010056364</v>
      </c>
      <c r="P156" s="96">
        <f t="shared" si="41"/>
        <v>113289809.41517541</v>
      </c>
      <c r="Q156" s="97">
        <f t="shared" si="56"/>
        <v>-0.3061697834214287</v>
      </c>
      <c r="R156" s="97">
        <f t="shared" si="57"/>
        <v>3.9647434296498515E-2</v>
      </c>
      <c r="S156" s="71">
        <f t="shared" si="58"/>
        <v>-3.9647434296498515E-2</v>
      </c>
      <c r="T156" s="98">
        <f t="shared" si="47"/>
        <v>99.93961561748786</v>
      </c>
      <c r="U156" s="99">
        <f t="shared" si="48"/>
        <v>0.15234697502665831</v>
      </c>
      <c r="V156" s="93" t="str">
        <f t="shared" si="59"/>
        <v>SI</v>
      </c>
      <c r="W156" s="95">
        <f t="shared" si="49"/>
        <v>-1133.5826010056364</v>
      </c>
      <c r="X156" s="95">
        <f t="shared" si="50"/>
        <v>113.28980941517541</v>
      </c>
      <c r="Y156" s="95">
        <f t="shared" si="51"/>
        <v>-113.28980941517541</v>
      </c>
      <c r="Z156" s="95">
        <f t="shared" si="52"/>
        <v>1272.2416060697774</v>
      </c>
      <c r="AA156" s="93" t="str">
        <f t="shared" si="60"/>
        <v/>
      </c>
      <c r="AB156" s="100"/>
      <c r="AC156" s="71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</row>
    <row r="157" spans="1:46" ht="19.5" thickBot="1" x14ac:dyDescent="0.3">
      <c r="A157" s="39"/>
      <c r="B157" s="39"/>
      <c r="C157" s="125">
        <f t="shared" si="44"/>
        <v>-3.4999999999999979E-3</v>
      </c>
      <c r="D157" s="125">
        <f t="shared" si="53"/>
        <v>6.7500000000000004E-2</v>
      </c>
      <c r="E157" s="125">
        <f t="shared" si="36"/>
        <v>1.2621951219512139E-3</v>
      </c>
      <c r="F157" s="126" t="s">
        <v>107</v>
      </c>
      <c r="G157" s="127">
        <f t="shared" si="42"/>
        <v>32.338028169014137</v>
      </c>
      <c r="H157" s="128">
        <f t="shared" si="45"/>
        <v>47.033333333333289</v>
      </c>
      <c r="I157" s="128">
        <f t="shared" si="46"/>
        <v>96.141666666666509</v>
      </c>
      <c r="J157" s="128">
        <f t="shared" si="39"/>
        <v>0.80952380952380887</v>
      </c>
      <c r="K157" s="128">
        <f t="shared" si="43"/>
        <v>0.41596638655462193</v>
      </c>
      <c r="L157" s="129">
        <f t="shared" si="54"/>
        <v>497852.49434088724</v>
      </c>
      <c r="M157" s="129">
        <f t="shared" si="40"/>
        <v>-147750.91079812218</v>
      </c>
      <c r="N157" s="129">
        <f t="shared" si="55"/>
        <v>737591.31866890797</v>
      </c>
      <c r="O157" s="129">
        <f t="shared" si="61"/>
        <v>1087692.9022116731</v>
      </c>
      <c r="P157" s="129">
        <f t="shared" si="41"/>
        <v>128359676.94707084</v>
      </c>
      <c r="Q157" s="130">
        <f t="shared" si="56"/>
        <v>-0.29377541610443031</v>
      </c>
      <c r="R157" s="130">
        <f t="shared" si="57"/>
        <v>4.4921355983824851E-2</v>
      </c>
      <c r="S157" s="128">
        <f t="shared" si="58"/>
        <v>-4.4921355983824851E-2</v>
      </c>
      <c r="T157" s="131">
        <f t="shared" si="47"/>
        <v>118.01095390626269</v>
      </c>
      <c r="U157" s="132">
        <f t="shared" si="48"/>
        <v>0.17989474680832726</v>
      </c>
      <c r="V157" s="126" t="str">
        <f t="shared" si="59"/>
        <v>NO</v>
      </c>
      <c r="W157" s="127">
        <f t="shared" si="49"/>
        <v>-1087.6929022116731</v>
      </c>
      <c r="X157" s="127">
        <f t="shared" si="50"/>
        <v>128.35967694707082</v>
      </c>
      <c r="Y157" s="127">
        <f t="shared" si="51"/>
        <v>-128.35967694707082</v>
      </c>
      <c r="Z157" s="127">
        <f t="shared" si="52"/>
        <v>1235.4438130097953</v>
      </c>
      <c r="AA157" s="126" t="str">
        <f t="shared" si="60"/>
        <v/>
      </c>
      <c r="AB157" s="100"/>
      <c r="AC157" s="71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</row>
    <row r="158" spans="1:46" ht="26.25" x14ac:dyDescent="0.25">
      <c r="A158" s="39"/>
      <c r="B158" s="133" t="s">
        <v>109</v>
      </c>
      <c r="C158" s="113">
        <f t="shared" ref="C158:C221" si="62">$I$12*10^-3</f>
        <v>-3.5000000000000001E-3</v>
      </c>
      <c r="D158" s="111">
        <f t="shared" si="53"/>
        <v>6.7500000000000004E-2</v>
      </c>
      <c r="E158" s="111">
        <f>($I$12*(G158-$C$10))/(G158*10^3)</f>
        <v>1.2621951219512202E-3</v>
      </c>
      <c r="F158" s="113" t="s">
        <v>107</v>
      </c>
      <c r="G158" s="114">
        <f t="shared" ref="G158:G221" si="63">(-$I$12*10^-3/(-$I$12*10^-3+D158))*$C$13</f>
        <v>32.338028169014081</v>
      </c>
      <c r="H158" s="115">
        <f t="shared" ref="H158:H221" si="64">$H$157</f>
        <v>47.033333333333289</v>
      </c>
      <c r="I158" s="115">
        <f t="shared" ref="I158:I221" si="65">$I$157</f>
        <v>96.141666666666509</v>
      </c>
      <c r="J158" s="115">
        <f t="shared" si="39"/>
        <v>0.80952380952380887</v>
      </c>
      <c r="K158" s="115">
        <f t="shared" si="43"/>
        <v>0.41596638655462226</v>
      </c>
      <c r="L158" s="96">
        <f t="shared" si="54"/>
        <v>497852.49434088968</v>
      </c>
      <c r="M158" s="116">
        <f t="shared" ref="M158:M221" si="66">-$I$16*$C$6*J158*$I$10*G158</f>
        <v>-147750.91079812188</v>
      </c>
      <c r="N158" s="96">
        <f t="shared" si="55"/>
        <v>737591.31866890797</v>
      </c>
      <c r="O158" s="116">
        <f t="shared" si="61"/>
        <v>1087692.9022116759</v>
      </c>
      <c r="P158" s="116">
        <f t="shared" ref="P158:P221" si="67">-M158*($C$8/2-(K158*G158))-L158*($C$13/2)+N158*($C$13/2)</f>
        <v>128359676.94706994</v>
      </c>
      <c r="Q158" s="97">
        <f t="shared" si="56"/>
        <v>-0.29377541610443103</v>
      </c>
      <c r="R158" s="117">
        <f t="shared" si="57"/>
        <v>4.4921355983824532E-2</v>
      </c>
      <c r="S158" s="71">
        <f t="shared" si="58"/>
        <v>-4.4921355983824532E-2</v>
      </c>
      <c r="T158" s="118">
        <f t="shared" si="47"/>
        <v>118.01095390626156</v>
      </c>
      <c r="U158" s="119">
        <f t="shared" si="48"/>
        <v>0.17989474680832554</v>
      </c>
      <c r="V158" s="93" t="str">
        <f t="shared" si="59"/>
        <v>NO</v>
      </c>
      <c r="W158" s="95">
        <f t="shared" si="49"/>
        <v>-1087.6929022116758</v>
      </c>
      <c r="X158" s="95">
        <f t="shared" si="50"/>
        <v>128.35967694706994</v>
      </c>
      <c r="Y158" s="95">
        <f t="shared" si="51"/>
        <v>-128.35967694706994</v>
      </c>
      <c r="Z158" s="95">
        <f t="shared" si="52"/>
        <v>1235.4438130097976</v>
      </c>
      <c r="AA158" s="93" t="str">
        <f t="shared" si="60"/>
        <v/>
      </c>
      <c r="AB158" s="100"/>
      <c r="AC158" s="71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</row>
    <row r="159" spans="1:46" ht="18.75" x14ac:dyDescent="0.25">
      <c r="A159" s="39"/>
      <c r="B159" s="39"/>
      <c r="C159" s="113">
        <f t="shared" si="62"/>
        <v>-3.5000000000000001E-3</v>
      </c>
      <c r="D159" s="94">
        <f t="shared" ref="D159:D222" si="68">D158-($M$8*10^-3/100)</f>
        <v>6.6825000000000009E-2</v>
      </c>
      <c r="E159" s="94">
        <f t="shared" ref="E159:E222" si="69">($I$12*(G159-$C$10))/(G159*1000)</f>
        <v>1.216920731707318E-3</v>
      </c>
      <c r="F159" s="93" t="s">
        <v>107</v>
      </c>
      <c r="G159" s="95">
        <f t="shared" si="63"/>
        <v>32.648418059011725</v>
      </c>
      <c r="H159" s="115">
        <f t="shared" si="64"/>
        <v>47.033333333333289</v>
      </c>
      <c r="I159" s="115">
        <f t="shared" si="65"/>
        <v>96.141666666666509</v>
      </c>
      <c r="J159" s="115">
        <f t="shared" si="39"/>
        <v>0.80952380952380887</v>
      </c>
      <c r="K159" s="115">
        <f t="shared" si="43"/>
        <v>0.41596638655462226</v>
      </c>
      <c r="L159" s="96">
        <f t="shared" si="54"/>
        <v>479994.74182648823</v>
      </c>
      <c r="M159" s="116">
        <f t="shared" si="66"/>
        <v>-149169.06742505019</v>
      </c>
      <c r="N159" s="96">
        <f t="shared" si="55"/>
        <v>737591.31866890797</v>
      </c>
      <c r="O159" s="96">
        <f t="shared" si="61"/>
        <v>1068416.9930703461</v>
      </c>
      <c r="P159" s="116">
        <f t="shared" si="67"/>
        <v>134675038.72996432</v>
      </c>
      <c r="Q159" s="97">
        <f t="shared" si="56"/>
        <v>-0.28856917800425508</v>
      </c>
      <c r="R159" s="97">
        <f t="shared" si="57"/>
        <v>4.7131509682894861E-2</v>
      </c>
      <c r="S159" s="71">
        <f t="shared" si="58"/>
        <v>-4.7131509682894861E-2</v>
      </c>
      <c r="T159" s="98">
        <f t="shared" si="47"/>
        <v>126.05100780262218</v>
      </c>
      <c r="U159" s="99">
        <f t="shared" si="48"/>
        <v>0.19215092652838747</v>
      </c>
      <c r="V159" s="93" t="str">
        <f t="shared" si="59"/>
        <v>NO</v>
      </c>
      <c r="W159" s="95">
        <f t="shared" si="49"/>
        <v>-1068.4169930703461</v>
      </c>
      <c r="X159" s="95">
        <f t="shared" si="50"/>
        <v>134.67503872996431</v>
      </c>
      <c r="Y159" s="95">
        <f t="shared" si="51"/>
        <v>-134.67503872996431</v>
      </c>
      <c r="Z159" s="95">
        <f t="shared" si="52"/>
        <v>1217.5860604953962</v>
      </c>
      <c r="AA159" s="93" t="str">
        <f t="shared" si="60"/>
        <v/>
      </c>
      <c r="AB159" s="100"/>
      <c r="AC159" s="71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</row>
    <row r="160" spans="1:46" ht="18.75" x14ac:dyDescent="0.25">
      <c r="A160" s="39"/>
      <c r="B160" s="39"/>
      <c r="C160" s="113">
        <f t="shared" si="62"/>
        <v>-3.5000000000000001E-3</v>
      </c>
      <c r="D160" s="94">
        <f t="shared" si="68"/>
        <v>6.6150000000000014E-2</v>
      </c>
      <c r="E160" s="94">
        <f t="shared" si="69"/>
        <v>1.1716463414634158E-3</v>
      </c>
      <c r="F160" s="93" t="s">
        <v>107</v>
      </c>
      <c r="G160" s="95">
        <f t="shared" si="63"/>
        <v>32.964824120603005</v>
      </c>
      <c r="H160" s="115">
        <f t="shared" si="64"/>
        <v>47.033333333333289</v>
      </c>
      <c r="I160" s="115">
        <f t="shared" si="65"/>
        <v>96.141666666666509</v>
      </c>
      <c r="J160" s="115">
        <f t="shared" si="39"/>
        <v>0.80952380952380887</v>
      </c>
      <c r="K160" s="115">
        <f t="shared" si="43"/>
        <v>0.41596638655462226</v>
      </c>
      <c r="L160" s="96">
        <f t="shared" si="54"/>
        <v>462136.98931208695</v>
      </c>
      <c r="M160" s="116">
        <f t="shared" si="66"/>
        <v>-150614.71165350542</v>
      </c>
      <c r="N160" s="96">
        <f t="shared" si="55"/>
        <v>737591.31866890797</v>
      </c>
      <c r="O160" s="96">
        <f t="shared" si="61"/>
        <v>1049113.5963274895</v>
      </c>
      <c r="P160" s="116">
        <f t="shared" si="67"/>
        <v>140998901.20657226</v>
      </c>
      <c r="Q160" s="97">
        <f t="shared" si="56"/>
        <v>-0.28335551576665963</v>
      </c>
      <c r="R160" s="97">
        <f t="shared" si="57"/>
        <v>4.9344638324700318E-2</v>
      </c>
      <c r="S160" s="71">
        <f t="shared" si="58"/>
        <v>-4.9344638324700318E-2</v>
      </c>
      <c r="T160" s="98">
        <f t="shared" si="47"/>
        <v>134.39812590376371</v>
      </c>
      <c r="U160" s="99">
        <f t="shared" si="48"/>
        <v>0.20487519192646908</v>
      </c>
      <c r="V160" s="93" t="str">
        <f t="shared" si="59"/>
        <v>NO</v>
      </c>
      <c r="W160" s="95">
        <f t="shared" si="49"/>
        <v>-1049.1135963274894</v>
      </c>
      <c r="X160" s="95">
        <f t="shared" si="50"/>
        <v>140.99890120657227</v>
      </c>
      <c r="Y160" s="95">
        <f t="shared" si="51"/>
        <v>-140.99890120657227</v>
      </c>
      <c r="Z160" s="95">
        <f t="shared" si="52"/>
        <v>1199.7283079809949</v>
      </c>
      <c r="AA160" s="93" t="str">
        <f t="shared" si="60"/>
        <v/>
      </c>
      <c r="AB160" s="100"/>
      <c r="AC160" s="71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</row>
    <row r="161" spans="1:46" ht="18.75" x14ac:dyDescent="0.25">
      <c r="A161" s="39"/>
      <c r="B161" s="39"/>
      <c r="C161" s="113">
        <f t="shared" si="62"/>
        <v>-3.5000000000000001E-3</v>
      </c>
      <c r="D161" s="94">
        <f t="shared" si="68"/>
        <v>6.5475000000000019E-2</v>
      </c>
      <c r="E161" s="94">
        <f t="shared" si="69"/>
        <v>1.1263719512195141E-3</v>
      </c>
      <c r="F161" s="93" t="s">
        <v>107</v>
      </c>
      <c r="G161" s="95">
        <f t="shared" si="63"/>
        <v>33.287422979340327</v>
      </c>
      <c r="H161" s="115">
        <f t="shared" si="64"/>
        <v>47.033333333333289</v>
      </c>
      <c r="I161" s="115">
        <f t="shared" si="65"/>
        <v>96.141666666666509</v>
      </c>
      <c r="J161" s="115">
        <f t="shared" si="39"/>
        <v>0.80952380952380887</v>
      </c>
      <c r="K161" s="115">
        <f t="shared" si="43"/>
        <v>0.41596638655462226</v>
      </c>
      <c r="L161" s="96">
        <f t="shared" si="54"/>
        <v>444279.23679768573</v>
      </c>
      <c r="M161" s="116">
        <f t="shared" si="66"/>
        <v>-152088.65047722583</v>
      </c>
      <c r="N161" s="96">
        <f t="shared" si="55"/>
        <v>737591.31866890797</v>
      </c>
      <c r="O161" s="96">
        <f t="shared" si="61"/>
        <v>1029781.9049893678</v>
      </c>
      <c r="P161" s="116">
        <f t="shared" si="67"/>
        <v>147331502.77019978</v>
      </c>
      <c r="Q161" s="97">
        <f t="shared" si="56"/>
        <v>-0.27813421143037936</v>
      </c>
      <c r="R161" s="97">
        <f t="shared" si="57"/>
        <v>5.1560825338482989E-2</v>
      </c>
      <c r="S161" s="71">
        <f t="shared" si="58"/>
        <v>-5.1560825338482989E-2</v>
      </c>
      <c r="T161" s="98">
        <f t="shared" si="47"/>
        <v>143.07058810838294</v>
      </c>
      <c r="U161" s="99">
        <f t="shared" si="48"/>
        <v>0.21809540870180325</v>
      </c>
      <c r="V161" s="93" t="str">
        <f t="shared" si="59"/>
        <v>NO</v>
      </c>
      <c r="W161" s="95">
        <f t="shared" si="49"/>
        <v>-1029.7819049893678</v>
      </c>
      <c r="X161" s="95">
        <f t="shared" si="50"/>
        <v>147.33150277019976</v>
      </c>
      <c r="Y161" s="95">
        <f t="shared" si="51"/>
        <v>-147.33150277019976</v>
      </c>
      <c r="Z161" s="95">
        <f t="shared" si="52"/>
        <v>1181.8705554665937</v>
      </c>
      <c r="AA161" s="93" t="str">
        <f t="shared" si="60"/>
        <v/>
      </c>
      <c r="AB161" s="100"/>
      <c r="AC161" s="71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</row>
    <row r="162" spans="1:46" ht="18.75" x14ac:dyDescent="0.25">
      <c r="A162" s="39"/>
      <c r="B162" s="39"/>
      <c r="C162" s="113">
        <f t="shared" si="62"/>
        <v>-3.5000000000000001E-3</v>
      </c>
      <c r="D162" s="94">
        <f t="shared" si="68"/>
        <v>6.4800000000000024E-2</v>
      </c>
      <c r="E162" s="94">
        <f t="shared" si="69"/>
        <v>1.0810975609756117E-3</v>
      </c>
      <c r="F162" s="93" t="s">
        <v>107</v>
      </c>
      <c r="G162" s="95">
        <f t="shared" si="63"/>
        <v>33.616398243045374</v>
      </c>
      <c r="H162" s="115">
        <f t="shared" si="64"/>
        <v>47.033333333333289</v>
      </c>
      <c r="I162" s="115">
        <f t="shared" si="65"/>
        <v>96.141666666666509</v>
      </c>
      <c r="J162" s="115">
        <f t="shared" si="39"/>
        <v>0.80952380952380887</v>
      </c>
      <c r="K162" s="115">
        <f t="shared" si="43"/>
        <v>0.41596638655462226</v>
      </c>
      <c r="L162" s="96">
        <f t="shared" si="54"/>
        <v>426421.48428328428</v>
      </c>
      <c r="M162" s="116">
        <f t="shared" si="66"/>
        <v>-153591.72279160543</v>
      </c>
      <c r="N162" s="96">
        <f t="shared" si="55"/>
        <v>737591.31866890797</v>
      </c>
      <c r="O162" s="96">
        <f t="shared" si="61"/>
        <v>1010421.0801605869</v>
      </c>
      <c r="P162" s="116">
        <f t="shared" si="67"/>
        <v>153673090.79210275</v>
      </c>
      <c r="Q162" s="97">
        <f t="shared" si="56"/>
        <v>-0.27290503841781771</v>
      </c>
      <c r="R162" s="97">
        <f t="shared" si="57"/>
        <v>5.3780157295450527E-2</v>
      </c>
      <c r="S162" s="71">
        <f t="shared" si="58"/>
        <v>-5.3780157295450527E-2</v>
      </c>
      <c r="T162" s="98">
        <f t="shared" si="47"/>
        <v>152.0881678039411</v>
      </c>
      <c r="U162" s="99">
        <f t="shared" si="48"/>
        <v>0.23184171921332486</v>
      </c>
      <c r="V162" s="93" t="str">
        <f t="shared" si="59"/>
        <v>NO</v>
      </c>
      <c r="W162" s="95">
        <f t="shared" si="49"/>
        <v>-1010.4210801605868</v>
      </c>
      <c r="X162" s="95">
        <f t="shared" si="50"/>
        <v>153.67309079210276</v>
      </c>
      <c r="Y162" s="95">
        <f t="shared" si="51"/>
        <v>-153.67309079210276</v>
      </c>
      <c r="Z162" s="95">
        <f t="shared" si="52"/>
        <v>1164.0128029521923</v>
      </c>
      <c r="AA162" s="93" t="str">
        <f t="shared" si="60"/>
        <v/>
      </c>
      <c r="AB162" s="100"/>
      <c r="AC162" s="71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</row>
    <row r="163" spans="1:46" ht="18.75" x14ac:dyDescent="0.25">
      <c r="A163" s="39"/>
      <c r="B163" s="39"/>
      <c r="C163" s="113">
        <f t="shared" si="62"/>
        <v>-3.5000000000000001E-3</v>
      </c>
      <c r="D163" s="94">
        <f t="shared" si="68"/>
        <v>6.4125000000000029E-2</v>
      </c>
      <c r="E163" s="94">
        <f t="shared" si="69"/>
        <v>1.0358231707317098E-3</v>
      </c>
      <c r="F163" s="93" t="s">
        <v>107</v>
      </c>
      <c r="G163" s="95">
        <f t="shared" si="63"/>
        <v>33.951940850277246</v>
      </c>
      <c r="H163" s="115">
        <f t="shared" si="64"/>
        <v>47.033333333333289</v>
      </c>
      <c r="I163" s="115">
        <f t="shared" si="65"/>
        <v>96.141666666666509</v>
      </c>
      <c r="J163" s="115">
        <f t="shared" si="39"/>
        <v>0.80952380952380887</v>
      </c>
      <c r="K163" s="115">
        <f t="shared" si="43"/>
        <v>0.41596638655462226</v>
      </c>
      <c r="L163" s="96">
        <f t="shared" si="54"/>
        <v>408563.73176888301</v>
      </c>
      <c r="M163" s="116">
        <f t="shared" si="66"/>
        <v>-155124.80098582848</v>
      </c>
      <c r="N163" s="96">
        <f t="shared" si="55"/>
        <v>737591.31866890797</v>
      </c>
      <c r="O163" s="96">
        <f t="shared" si="61"/>
        <v>991030.24945196253</v>
      </c>
      <c r="P163" s="116">
        <f t="shared" si="67"/>
        <v>160023922.04706872</v>
      </c>
      <c r="Q163" s="97">
        <f t="shared" si="56"/>
        <v>-0.26766776110502705</v>
      </c>
      <c r="R163" s="97">
        <f t="shared" si="57"/>
        <v>5.6002724057714705E-2</v>
      </c>
      <c r="S163" s="71">
        <f t="shared" si="58"/>
        <v>-5.6002724057714705E-2</v>
      </c>
      <c r="T163" s="98">
        <f t="shared" si="47"/>
        <v>161.47228819257694</v>
      </c>
      <c r="U163" s="99">
        <f t="shared" si="48"/>
        <v>0.24614678078136729</v>
      </c>
      <c r="V163" s="93" t="str">
        <f t="shared" si="59"/>
        <v>NO</v>
      </c>
      <c r="W163" s="95">
        <f t="shared" si="49"/>
        <v>-991.0302494519625</v>
      </c>
      <c r="X163" s="95">
        <f t="shared" si="50"/>
        <v>160.02392204706871</v>
      </c>
      <c r="Y163" s="95">
        <f t="shared" si="51"/>
        <v>-160.02392204706871</v>
      </c>
      <c r="Z163" s="95">
        <f t="shared" si="52"/>
        <v>1146.155050437791</v>
      </c>
      <c r="AA163" s="93" t="str">
        <f t="shared" si="60"/>
        <v/>
      </c>
      <c r="AB163" s="100"/>
      <c r="AC163" s="71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</row>
    <row r="164" spans="1:46" ht="18.75" x14ac:dyDescent="0.25">
      <c r="A164" s="39"/>
      <c r="B164" s="39"/>
      <c r="C164" s="113">
        <f t="shared" si="62"/>
        <v>-3.5000000000000001E-3</v>
      </c>
      <c r="D164" s="94">
        <f t="shared" si="68"/>
        <v>6.3450000000000034E-2</v>
      </c>
      <c r="E164" s="94">
        <f t="shared" si="69"/>
        <v>9.9054878048780758E-4</v>
      </c>
      <c r="F164" s="93" t="s">
        <v>107</v>
      </c>
      <c r="G164" s="95">
        <f t="shared" si="63"/>
        <v>34.294249439880488</v>
      </c>
      <c r="H164" s="115">
        <f t="shared" si="64"/>
        <v>47.033333333333289</v>
      </c>
      <c r="I164" s="115">
        <f t="shared" si="65"/>
        <v>96.141666666666509</v>
      </c>
      <c r="J164" s="115">
        <f t="shared" si="39"/>
        <v>0.80952380952380887</v>
      </c>
      <c r="K164" s="115">
        <f t="shared" si="43"/>
        <v>0.41596638655462226</v>
      </c>
      <c r="L164" s="96">
        <f t="shared" si="54"/>
        <v>390705.97925448167</v>
      </c>
      <c r="M164" s="116">
        <f t="shared" si="66"/>
        <v>-156688.79263131664</v>
      </c>
      <c r="N164" s="96">
        <f t="shared" si="55"/>
        <v>737591.31866890797</v>
      </c>
      <c r="O164" s="96">
        <f t="shared" si="61"/>
        <v>971608.50529207301</v>
      </c>
      <c r="P164" s="116">
        <f t="shared" si="67"/>
        <v>166384263.16337049</v>
      </c>
      <c r="Q164" s="97">
        <f t="shared" si="56"/>
        <v>-0.26242213436567463</v>
      </c>
      <c r="R164" s="97">
        <f t="shared" si="57"/>
        <v>5.8228618935759348E-2</v>
      </c>
      <c r="S164" s="71">
        <f t="shared" si="58"/>
        <v>-5.8228618935759348E-2</v>
      </c>
      <c r="T164" s="98">
        <f t="shared" si="47"/>
        <v>171.24619870773373</v>
      </c>
      <c r="U164" s="99">
        <f t="shared" si="48"/>
        <v>0.26104603461544773</v>
      </c>
      <c r="V164" s="93" t="str">
        <f t="shared" si="59"/>
        <v>NO</v>
      </c>
      <c r="W164" s="95">
        <f t="shared" si="49"/>
        <v>-971.608505292073</v>
      </c>
      <c r="X164" s="95">
        <f t="shared" si="50"/>
        <v>166.38426316337049</v>
      </c>
      <c r="Y164" s="95">
        <f t="shared" si="51"/>
        <v>-166.38426316337049</v>
      </c>
      <c r="Z164" s="95">
        <f t="shared" si="52"/>
        <v>1128.2972979233896</v>
      </c>
      <c r="AA164" s="93" t="str">
        <f t="shared" si="60"/>
        <v/>
      </c>
      <c r="AB164" s="100"/>
      <c r="AC164" s="71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</row>
    <row r="165" spans="1:46" ht="18.75" x14ac:dyDescent="0.25">
      <c r="A165" s="39"/>
      <c r="B165" s="39"/>
      <c r="C165" s="113">
        <f t="shared" si="62"/>
        <v>-3.5000000000000001E-3</v>
      </c>
      <c r="D165" s="94">
        <f t="shared" si="68"/>
        <v>6.2775000000000039E-2</v>
      </c>
      <c r="E165" s="94">
        <f t="shared" si="69"/>
        <v>9.4527439024390519E-4</v>
      </c>
      <c r="F165" s="93" t="s">
        <v>107</v>
      </c>
      <c r="G165" s="95">
        <f t="shared" si="63"/>
        <v>34.643530743115782</v>
      </c>
      <c r="H165" s="115">
        <f t="shared" si="64"/>
        <v>47.033333333333289</v>
      </c>
      <c r="I165" s="115">
        <f t="shared" si="65"/>
        <v>96.141666666666509</v>
      </c>
      <c r="J165" s="115">
        <f t="shared" si="39"/>
        <v>0.80952380952380887</v>
      </c>
      <c r="K165" s="115">
        <f t="shared" si="43"/>
        <v>0.41596638655462226</v>
      </c>
      <c r="L165" s="96">
        <f t="shared" si="54"/>
        <v>372848.22674008016</v>
      </c>
      <c r="M165" s="116">
        <f t="shared" si="66"/>
        <v>-158284.64227335568</v>
      </c>
      <c r="N165" s="96">
        <f t="shared" si="55"/>
        <v>737591.31866890797</v>
      </c>
      <c r="O165" s="96">
        <f t="shared" si="61"/>
        <v>952154.9031356324</v>
      </c>
      <c r="P165" s="116">
        <f t="shared" si="67"/>
        <v>172754391.09872812</v>
      </c>
      <c r="Q165" s="97">
        <f t="shared" si="56"/>
        <v>-0.25716790308714216</v>
      </c>
      <c r="R165" s="97">
        <f t="shared" si="57"/>
        <v>6.0457938855010183E-2</v>
      </c>
      <c r="S165" s="71">
        <f t="shared" si="58"/>
        <v>-6.0457938855010183E-2</v>
      </c>
      <c r="T165" s="98">
        <f t="shared" si="47"/>
        <v>181.43517460217251</v>
      </c>
      <c r="U165" s="99">
        <f t="shared" si="48"/>
        <v>0.27657801006428734</v>
      </c>
      <c r="V165" s="93" t="str">
        <f t="shared" si="59"/>
        <v>NO</v>
      </c>
      <c r="W165" s="95">
        <f t="shared" si="49"/>
        <v>-952.15490313563237</v>
      </c>
      <c r="X165" s="95">
        <f t="shared" si="50"/>
        <v>172.75439109872812</v>
      </c>
      <c r="Y165" s="95">
        <f t="shared" si="51"/>
        <v>-172.75439109872812</v>
      </c>
      <c r="Z165" s="95">
        <f t="shared" si="52"/>
        <v>1110.4395454089881</v>
      </c>
      <c r="AA165" s="93" t="str">
        <f t="shared" si="60"/>
        <v/>
      </c>
      <c r="AB165" s="100"/>
      <c r="AC165" s="71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</row>
    <row r="166" spans="1:46" ht="18.75" x14ac:dyDescent="0.25">
      <c r="A166" s="39"/>
      <c r="B166" s="39"/>
      <c r="C166" s="113">
        <f t="shared" si="62"/>
        <v>-3.5000000000000001E-3</v>
      </c>
      <c r="D166" s="94">
        <f t="shared" si="68"/>
        <v>6.2100000000000037E-2</v>
      </c>
      <c r="E166" s="94">
        <f t="shared" si="69"/>
        <v>9.0000000000000269E-4</v>
      </c>
      <c r="F166" s="93" t="s">
        <v>107</v>
      </c>
      <c r="G166" s="95">
        <f t="shared" si="63"/>
        <v>34.999999999999979</v>
      </c>
      <c r="H166" s="115">
        <f t="shared" si="64"/>
        <v>47.033333333333289</v>
      </c>
      <c r="I166" s="115">
        <f t="shared" si="65"/>
        <v>96.141666666666509</v>
      </c>
      <c r="J166" s="115">
        <f t="shared" si="39"/>
        <v>0.80952380952380887</v>
      </c>
      <c r="K166" s="115">
        <f t="shared" si="43"/>
        <v>0.41596638655462226</v>
      </c>
      <c r="L166" s="96">
        <f t="shared" si="54"/>
        <v>354990.47422567871</v>
      </c>
      <c r="M166" s="116">
        <f t="shared" si="66"/>
        <v>-159913.33333333308</v>
      </c>
      <c r="N166" s="96">
        <f t="shared" si="55"/>
        <v>737591.31866890797</v>
      </c>
      <c r="O166" s="96">
        <f t="shared" si="61"/>
        <v>932668.45956125367</v>
      </c>
      <c r="P166" s="116">
        <f t="shared" si="67"/>
        <v>179134593.64404577</v>
      </c>
      <c r="Q166" s="97">
        <f t="shared" si="56"/>
        <v>-0.25190480165674911</v>
      </c>
      <c r="R166" s="97">
        <f t="shared" si="57"/>
        <v>6.2690784532124982E-2</v>
      </c>
      <c r="S166" s="71">
        <f t="shared" si="58"/>
        <v>-6.2690784532124982E-2</v>
      </c>
      <c r="T166" s="98">
        <f t="shared" si="47"/>
        <v>192.06674334019439</v>
      </c>
      <c r="U166" s="99">
        <f t="shared" si="48"/>
        <v>0.29278466972590611</v>
      </c>
      <c r="V166" s="93" t="str">
        <f t="shared" si="59"/>
        <v>NO</v>
      </c>
      <c r="W166" s="95">
        <f t="shared" si="49"/>
        <v>-932.66845956125371</v>
      </c>
      <c r="X166" s="95">
        <f t="shared" si="50"/>
        <v>179.13459364404576</v>
      </c>
      <c r="Y166" s="95">
        <f t="shared" si="51"/>
        <v>-179.13459364404576</v>
      </c>
      <c r="Z166" s="95">
        <f t="shared" si="52"/>
        <v>1092.5817928945867</v>
      </c>
      <c r="AA166" s="93" t="str">
        <f t="shared" si="60"/>
        <v/>
      </c>
      <c r="AB166" s="100"/>
      <c r="AC166" s="71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</row>
    <row r="167" spans="1:46" ht="18.75" x14ac:dyDescent="0.25">
      <c r="A167" s="39"/>
      <c r="B167" s="39"/>
      <c r="C167" s="113">
        <f t="shared" si="62"/>
        <v>-3.5000000000000001E-3</v>
      </c>
      <c r="D167" s="94">
        <f t="shared" si="68"/>
        <v>6.1425000000000035E-2</v>
      </c>
      <c r="E167" s="94">
        <f t="shared" si="69"/>
        <v>8.547256097561004E-4</v>
      </c>
      <c r="F167" s="93" t="s">
        <v>107</v>
      </c>
      <c r="G167" s="95">
        <f t="shared" si="63"/>
        <v>35.363881401617228</v>
      </c>
      <c r="H167" s="115">
        <f t="shared" si="64"/>
        <v>47.033333333333289</v>
      </c>
      <c r="I167" s="115">
        <f t="shared" si="65"/>
        <v>96.141666666666509</v>
      </c>
      <c r="J167" s="115">
        <f t="shared" si="39"/>
        <v>0.80952380952380887</v>
      </c>
      <c r="K167" s="115">
        <f t="shared" si="43"/>
        <v>0.41596638655462226</v>
      </c>
      <c r="L167" s="96">
        <f t="shared" si="54"/>
        <v>337132.72171127732</v>
      </c>
      <c r="M167" s="116">
        <f t="shared" si="66"/>
        <v>-161575.89012963648</v>
      </c>
      <c r="N167" s="96">
        <f t="shared" si="55"/>
        <v>737591.31866890797</v>
      </c>
      <c r="O167" s="96">
        <f t="shared" si="61"/>
        <v>913148.15025054885</v>
      </c>
      <c r="P167" s="116">
        <f t="shared" si="67"/>
        <v>185525169.95682597</v>
      </c>
      <c r="Q167" s="97">
        <f t="shared" si="56"/>
        <v>-0.24663255341592763</v>
      </c>
      <c r="R167" s="97">
        <f t="shared" si="57"/>
        <v>6.492726066166972E-2</v>
      </c>
      <c r="S167" s="71">
        <f t="shared" si="58"/>
        <v>-6.492726066166972E-2</v>
      </c>
      <c r="T167" s="98">
        <f t="shared" si="47"/>
        <v>203.17094209293609</v>
      </c>
      <c r="U167" s="99">
        <f t="shared" si="48"/>
        <v>0.30971180197093917</v>
      </c>
      <c r="V167" s="93" t="str">
        <f t="shared" si="59"/>
        <v>NO</v>
      </c>
      <c r="W167" s="95">
        <f t="shared" si="49"/>
        <v>-913.14815025054884</v>
      </c>
      <c r="X167" s="95">
        <f t="shared" si="50"/>
        <v>185.52516995682598</v>
      </c>
      <c r="Y167" s="95">
        <f t="shared" si="51"/>
        <v>-185.52516995682598</v>
      </c>
      <c r="Z167" s="95">
        <f t="shared" si="52"/>
        <v>1074.7240403801852</v>
      </c>
      <c r="AA167" s="93" t="str">
        <f t="shared" si="60"/>
        <v/>
      </c>
      <c r="AB167" s="100"/>
      <c r="AC167" s="71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</row>
    <row r="168" spans="1:46" ht="18.75" x14ac:dyDescent="0.25">
      <c r="A168" s="39"/>
      <c r="B168" s="39"/>
      <c r="C168" s="113">
        <f t="shared" si="62"/>
        <v>-3.5000000000000001E-3</v>
      </c>
      <c r="D168" s="94">
        <f t="shared" si="68"/>
        <v>6.0750000000000033E-2</v>
      </c>
      <c r="E168" s="94">
        <f t="shared" si="69"/>
        <v>8.0945121951219758E-4</v>
      </c>
      <c r="F168" s="93" t="s">
        <v>107</v>
      </c>
      <c r="G168" s="95">
        <f t="shared" si="63"/>
        <v>35.735408560311264</v>
      </c>
      <c r="H168" s="115">
        <f t="shared" si="64"/>
        <v>47.033333333333289</v>
      </c>
      <c r="I168" s="115">
        <f t="shared" si="65"/>
        <v>96.141666666666509</v>
      </c>
      <c r="J168" s="115">
        <f t="shared" si="39"/>
        <v>0.80952380952380887</v>
      </c>
      <c r="K168" s="115">
        <f t="shared" si="43"/>
        <v>0.41596638655462226</v>
      </c>
      <c r="L168" s="96">
        <f t="shared" si="54"/>
        <v>319274.96919687564</v>
      </c>
      <c r="M168" s="116">
        <f t="shared" si="66"/>
        <v>-163273.38002594007</v>
      </c>
      <c r="N168" s="96">
        <f t="shared" si="55"/>
        <v>737591.31866890797</v>
      </c>
      <c r="O168" s="96">
        <f t="shared" si="61"/>
        <v>893592.90783984354</v>
      </c>
      <c r="P168" s="116">
        <f t="shared" si="67"/>
        <v>191926431.12631428</v>
      </c>
      <c r="Q168" s="97">
        <f t="shared" si="56"/>
        <v>-0.24135087007999098</v>
      </c>
      <c r="R168" s="97">
        <f t="shared" si="57"/>
        <v>6.7167476113899255E-2</v>
      </c>
      <c r="S168" s="71">
        <f t="shared" si="58"/>
        <v>-6.7167476113899255E-2</v>
      </c>
      <c r="T168" s="98">
        <f t="shared" si="47"/>
        <v>214.78061144226626</v>
      </c>
      <c r="U168" s="99">
        <f t="shared" si="48"/>
        <v>0.32740946866199128</v>
      </c>
      <c r="V168" s="93" t="str">
        <f t="shared" si="59"/>
        <v>NO</v>
      </c>
      <c r="W168" s="95">
        <f t="shared" si="49"/>
        <v>-893.59290783984352</v>
      </c>
      <c r="X168" s="95">
        <f t="shared" si="50"/>
        <v>191.92643112631427</v>
      </c>
      <c r="Y168" s="95">
        <f t="shared" si="51"/>
        <v>-191.92643112631427</v>
      </c>
      <c r="Z168" s="95">
        <f t="shared" si="52"/>
        <v>1056.8662878657835</v>
      </c>
      <c r="AA168" s="93" t="str">
        <f t="shared" si="60"/>
        <v/>
      </c>
      <c r="AB168" s="100"/>
      <c r="AC168" s="71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</row>
    <row r="169" spans="1:46" ht="18.75" x14ac:dyDescent="0.25">
      <c r="A169" s="39"/>
      <c r="B169" s="39"/>
      <c r="C169" s="113">
        <f t="shared" si="62"/>
        <v>-3.5000000000000001E-3</v>
      </c>
      <c r="D169" s="94">
        <f t="shared" si="68"/>
        <v>6.0075000000000031E-2</v>
      </c>
      <c r="E169" s="94">
        <f t="shared" si="69"/>
        <v>7.6417682926829518E-4</v>
      </c>
      <c r="F169" s="93" t="s">
        <v>107</v>
      </c>
      <c r="G169" s="95">
        <f t="shared" si="63"/>
        <v>36.114825009830888</v>
      </c>
      <c r="H169" s="115">
        <f t="shared" si="64"/>
        <v>47.033333333333289</v>
      </c>
      <c r="I169" s="115">
        <f t="shared" si="65"/>
        <v>96.141666666666509</v>
      </c>
      <c r="J169" s="115">
        <f t="shared" si="39"/>
        <v>0.80952380952380887</v>
      </c>
      <c r="K169" s="115">
        <f t="shared" si="43"/>
        <v>0.41596638655462226</v>
      </c>
      <c r="L169" s="96">
        <f t="shared" si="54"/>
        <v>301417.21668247425</v>
      </c>
      <c r="M169" s="116">
        <f t="shared" si="66"/>
        <v>-165006.91571634525</v>
      </c>
      <c r="N169" s="96">
        <f t="shared" si="55"/>
        <v>737591.31866890797</v>
      </c>
      <c r="O169" s="96">
        <f t="shared" si="61"/>
        <v>874001.61963503691</v>
      </c>
      <c r="P169" s="116">
        <f t="shared" si="67"/>
        <v>198338700.77258933</v>
      </c>
      <c r="Q169" s="97">
        <f t="shared" si="56"/>
        <v>-0.23605945112093923</v>
      </c>
      <c r="R169" s="97">
        <f t="shared" si="57"/>
        <v>6.9411544144417692E-2</v>
      </c>
      <c r="S169" s="71">
        <f t="shared" si="58"/>
        <v>-6.9411544144417692E-2</v>
      </c>
      <c r="T169" s="98">
        <f t="shared" si="47"/>
        <v>226.9317313798698</v>
      </c>
      <c r="U169" s="99">
        <f t="shared" si="48"/>
        <v>0.34593251734736252</v>
      </c>
      <c r="V169" s="93" t="str">
        <f t="shared" si="59"/>
        <v>NO</v>
      </c>
      <c r="W169" s="95">
        <f t="shared" si="49"/>
        <v>-874.00161963503695</v>
      </c>
      <c r="X169" s="95">
        <f t="shared" si="50"/>
        <v>198.33870077258933</v>
      </c>
      <c r="Y169" s="95">
        <f t="shared" si="51"/>
        <v>-198.33870077258933</v>
      </c>
      <c r="Z169" s="95">
        <f t="shared" si="52"/>
        <v>1039.0085353513823</v>
      </c>
      <c r="AA169" s="93" t="str">
        <f t="shared" si="60"/>
        <v/>
      </c>
      <c r="AB169" s="100"/>
      <c r="AC169" s="71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</row>
    <row r="170" spans="1:46" ht="18.75" x14ac:dyDescent="0.25">
      <c r="A170" s="39"/>
      <c r="B170" s="39"/>
      <c r="C170" s="113">
        <f t="shared" si="62"/>
        <v>-3.5000000000000001E-3</v>
      </c>
      <c r="D170" s="94">
        <f t="shared" si="68"/>
        <v>5.9400000000000029E-2</v>
      </c>
      <c r="E170" s="94">
        <f t="shared" si="69"/>
        <v>7.1890243902439214E-4</v>
      </c>
      <c r="F170" s="93" t="s">
        <v>107</v>
      </c>
      <c r="G170" s="95">
        <f t="shared" si="63"/>
        <v>36.502384737678838</v>
      </c>
      <c r="H170" s="115">
        <f t="shared" si="64"/>
        <v>47.033333333333289</v>
      </c>
      <c r="I170" s="115">
        <f t="shared" si="65"/>
        <v>96.141666666666509</v>
      </c>
      <c r="J170" s="115">
        <f t="shared" si="39"/>
        <v>0.80952380952380887</v>
      </c>
      <c r="K170" s="115">
        <f t="shared" si="43"/>
        <v>0.41596638655462226</v>
      </c>
      <c r="L170" s="96">
        <f t="shared" si="54"/>
        <v>283559.4641680725</v>
      </c>
      <c r="M170" s="116">
        <f t="shared" si="66"/>
        <v>-166777.6576576574</v>
      </c>
      <c r="N170" s="96">
        <f t="shared" si="55"/>
        <v>737591.31866890797</v>
      </c>
      <c r="O170" s="96">
        <f t="shared" si="61"/>
        <v>854373.12517932313</v>
      </c>
      <c r="P170" s="116">
        <f t="shared" si="67"/>
        <v>204762315.68199447</v>
      </c>
      <c r="Q170" s="97">
        <f t="shared" si="56"/>
        <v>-0.23075798311052406</v>
      </c>
      <c r="R170" s="97">
        <f t="shared" si="57"/>
        <v>7.1659582616557041E-2</v>
      </c>
      <c r="S170" s="71">
        <f t="shared" si="58"/>
        <v>-7.1659582616557041E-2</v>
      </c>
      <c r="T170" s="98">
        <f t="shared" si="47"/>
        <v>239.66380688650196</v>
      </c>
      <c r="U170" s="99">
        <f t="shared" si="48"/>
        <v>0.36534116903430175</v>
      </c>
      <c r="V170" s="93" t="str">
        <f t="shared" si="59"/>
        <v>NO</v>
      </c>
      <c r="W170" s="95">
        <f t="shared" si="49"/>
        <v>-854.3731251793231</v>
      </c>
      <c r="X170" s="95">
        <f t="shared" si="50"/>
        <v>204.76231568199447</v>
      </c>
      <c r="Y170" s="95">
        <f t="shared" si="51"/>
        <v>-204.76231568199447</v>
      </c>
      <c r="Z170" s="95">
        <f t="shared" si="52"/>
        <v>1021.1507828369804</v>
      </c>
      <c r="AA170" s="93" t="str">
        <f t="shared" si="60"/>
        <v/>
      </c>
      <c r="AB170" s="100"/>
      <c r="AC170" s="71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</row>
    <row r="171" spans="1:46" ht="18.75" x14ac:dyDescent="0.25">
      <c r="A171" s="39"/>
      <c r="B171" s="39"/>
      <c r="C171" s="113">
        <f t="shared" si="62"/>
        <v>-3.5000000000000001E-3</v>
      </c>
      <c r="D171" s="94">
        <f t="shared" si="68"/>
        <v>5.8725000000000027E-2</v>
      </c>
      <c r="E171" s="94">
        <f t="shared" si="69"/>
        <v>6.7362804878049007E-4</v>
      </c>
      <c r="F171" s="93" t="s">
        <v>107</v>
      </c>
      <c r="G171" s="95">
        <f t="shared" si="63"/>
        <v>36.898352752109261</v>
      </c>
      <c r="H171" s="115">
        <f t="shared" si="64"/>
        <v>47.033333333333289</v>
      </c>
      <c r="I171" s="115">
        <f t="shared" si="65"/>
        <v>96.141666666666509</v>
      </c>
      <c r="J171" s="115">
        <f t="shared" si="39"/>
        <v>0.80952380952380887</v>
      </c>
      <c r="K171" s="115">
        <f t="shared" si="43"/>
        <v>0.41596638655462226</v>
      </c>
      <c r="L171" s="96">
        <f t="shared" si="54"/>
        <v>265701.71165367117</v>
      </c>
      <c r="M171" s="116">
        <f t="shared" si="66"/>
        <v>-168586.81665997027</v>
      </c>
      <c r="N171" s="96">
        <f t="shared" si="55"/>
        <v>737591.31866890797</v>
      </c>
      <c r="O171" s="96">
        <f t="shared" si="61"/>
        <v>834706.21366260888</v>
      </c>
      <c r="P171" s="116">
        <f t="shared" si="67"/>
        <v>211197626.48149568</v>
      </c>
      <c r="Q171" s="97">
        <f t="shared" si="56"/>
        <v>-0.22544613902055741</v>
      </c>
      <c r="R171" s="97">
        <f t="shared" si="57"/>
        <v>7.3911714237378662E-2</v>
      </c>
      <c r="S171" s="71">
        <f t="shared" si="58"/>
        <v>-7.3911714237378662E-2</v>
      </c>
      <c r="T171" s="98">
        <f t="shared" si="47"/>
        <v>253.02031184694462</v>
      </c>
      <c r="U171" s="99">
        <f t="shared" si="48"/>
        <v>0.38570169488863509</v>
      </c>
      <c r="V171" s="93" t="str">
        <f t="shared" si="59"/>
        <v>NO</v>
      </c>
      <c r="W171" s="95">
        <f t="shared" si="49"/>
        <v>-834.70621366260889</v>
      </c>
      <c r="X171" s="95">
        <f t="shared" si="50"/>
        <v>211.19762648149569</v>
      </c>
      <c r="Y171" s="95">
        <f t="shared" si="51"/>
        <v>-211.19762648149569</v>
      </c>
      <c r="Z171" s="95">
        <f t="shared" si="52"/>
        <v>1003.2930303225792</v>
      </c>
      <c r="AA171" s="93" t="str">
        <f t="shared" si="60"/>
        <v/>
      </c>
      <c r="AB171" s="100"/>
      <c r="AC171" s="71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</row>
    <row r="172" spans="1:46" ht="18.75" x14ac:dyDescent="0.25">
      <c r="A172" s="39"/>
      <c r="B172" s="39"/>
      <c r="C172" s="113">
        <f t="shared" si="62"/>
        <v>-3.5000000000000001E-3</v>
      </c>
      <c r="D172" s="94">
        <f t="shared" si="68"/>
        <v>5.8050000000000025E-2</v>
      </c>
      <c r="E172" s="94">
        <f t="shared" si="69"/>
        <v>6.2835365853658714E-4</v>
      </c>
      <c r="F172" s="93" t="s">
        <v>107</v>
      </c>
      <c r="G172" s="95">
        <f t="shared" si="63"/>
        <v>37.303005686433778</v>
      </c>
      <c r="H172" s="115">
        <f t="shared" si="64"/>
        <v>47.033333333333289</v>
      </c>
      <c r="I172" s="115">
        <f t="shared" si="65"/>
        <v>96.141666666666509</v>
      </c>
      <c r="J172" s="115">
        <f t="shared" si="39"/>
        <v>0.80952380952380887</v>
      </c>
      <c r="K172" s="115">
        <f t="shared" si="43"/>
        <v>0.41596638655462226</v>
      </c>
      <c r="L172" s="96">
        <f t="shared" si="54"/>
        <v>247843.95913926957</v>
      </c>
      <c r="M172" s="116">
        <f t="shared" si="66"/>
        <v>-170435.65664771164</v>
      </c>
      <c r="N172" s="96">
        <f t="shared" si="55"/>
        <v>737591.31866890797</v>
      </c>
      <c r="O172" s="96">
        <f t="shared" si="61"/>
        <v>814999.62116046587</v>
      </c>
      <c r="P172" s="116">
        <f t="shared" si="67"/>
        <v>217644998.35476935</v>
      </c>
      <c r="Q172" s="97">
        <f t="shared" si="56"/>
        <v>-0.22012357747717901</v>
      </c>
      <c r="R172" s="97">
        <f t="shared" si="57"/>
        <v>7.6168066808278728E-2</v>
      </c>
      <c r="S172" s="71">
        <f t="shared" si="58"/>
        <v>-7.6168066808278728E-2</v>
      </c>
      <c r="T172" s="98">
        <f t="shared" si="47"/>
        <v>267.04920186940438</v>
      </c>
      <c r="U172" s="99">
        <f t="shared" si="48"/>
        <v>0.40708719797165305</v>
      </c>
      <c r="V172" s="93" t="str">
        <f t="shared" si="59"/>
        <v>NO</v>
      </c>
      <c r="W172" s="95">
        <f t="shared" si="49"/>
        <v>-814.99962116046584</v>
      </c>
      <c r="X172" s="95">
        <f t="shared" si="50"/>
        <v>217.64499835476934</v>
      </c>
      <c r="Y172" s="95">
        <f t="shared" si="51"/>
        <v>-217.64499835476934</v>
      </c>
      <c r="Z172" s="95">
        <f t="shared" si="52"/>
        <v>985.43527780817749</v>
      </c>
      <c r="AA172" s="93" t="str">
        <f t="shared" si="60"/>
        <v/>
      </c>
      <c r="AB172" s="100"/>
      <c r="AC172" s="71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</row>
    <row r="173" spans="1:46" ht="18.75" x14ac:dyDescent="0.25">
      <c r="A173" s="39"/>
      <c r="B173" s="39"/>
      <c r="C173" s="113">
        <f t="shared" si="62"/>
        <v>-3.5000000000000001E-3</v>
      </c>
      <c r="D173" s="94">
        <f t="shared" si="68"/>
        <v>5.7375000000000023E-2</v>
      </c>
      <c r="E173" s="94">
        <f t="shared" si="69"/>
        <v>5.8307926829268431E-4</v>
      </c>
      <c r="F173" s="93" t="s">
        <v>107</v>
      </c>
      <c r="G173" s="95">
        <f t="shared" si="63"/>
        <v>37.716632443531815</v>
      </c>
      <c r="H173" s="115">
        <f t="shared" si="64"/>
        <v>47.033333333333289</v>
      </c>
      <c r="I173" s="115">
        <f t="shared" si="65"/>
        <v>96.141666666666509</v>
      </c>
      <c r="J173" s="115">
        <f t="shared" si="39"/>
        <v>0.80952380952380887</v>
      </c>
      <c r="K173" s="115">
        <f t="shared" si="43"/>
        <v>0.41596638655462226</v>
      </c>
      <c r="L173" s="96">
        <f t="shared" si="54"/>
        <v>229986.20662486792</v>
      </c>
      <c r="M173" s="116">
        <f t="shared" si="66"/>
        <v>-172325.49760438033</v>
      </c>
      <c r="N173" s="96">
        <f t="shared" si="55"/>
        <v>737591.31866890797</v>
      </c>
      <c r="O173" s="96">
        <f t="shared" si="61"/>
        <v>795252.02768939559</v>
      </c>
      <c r="P173" s="116">
        <f t="shared" si="67"/>
        <v>224104811.80304751</v>
      </c>
      <c r="Q173" s="97">
        <f t="shared" si="56"/>
        <v>-0.21478994196551157</v>
      </c>
      <c r="R173" s="97">
        <f t="shared" si="57"/>
        <v>7.8428773491257223E-2</v>
      </c>
      <c r="S173" s="71">
        <f t="shared" si="58"/>
        <v>-7.8428773491257223E-2</v>
      </c>
      <c r="T173" s="98">
        <f t="shared" si="47"/>
        <v>281.80350882497459</v>
      </c>
      <c r="U173" s="99">
        <f t="shared" si="48"/>
        <v>0.42957851955026616</v>
      </c>
      <c r="V173" s="93" t="str">
        <f t="shared" si="59"/>
        <v>NO</v>
      </c>
      <c r="W173" s="95">
        <f t="shared" si="49"/>
        <v>-795.25202768939562</v>
      </c>
      <c r="X173" s="95">
        <f t="shared" si="50"/>
        <v>224.10481180304751</v>
      </c>
      <c r="Y173" s="95">
        <f t="shared" si="51"/>
        <v>-224.10481180304751</v>
      </c>
      <c r="Z173" s="95">
        <f t="shared" si="52"/>
        <v>967.57752529377581</v>
      </c>
      <c r="AA173" s="93" t="str">
        <f t="shared" si="60"/>
        <v/>
      </c>
      <c r="AB173" s="100"/>
      <c r="AC173" s="71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</row>
    <row r="174" spans="1:46" ht="18.75" x14ac:dyDescent="0.25">
      <c r="A174" s="39"/>
      <c r="B174" s="39"/>
      <c r="C174" s="113">
        <f t="shared" si="62"/>
        <v>-3.5000000000000001E-3</v>
      </c>
      <c r="D174" s="94">
        <f t="shared" si="68"/>
        <v>5.6700000000000021E-2</v>
      </c>
      <c r="E174" s="94">
        <f t="shared" si="69"/>
        <v>5.3780487804878235E-4</v>
      </c>
      <c r="F174" s="93" t="s">
        <v>107</v>
      </c>
      <c r="G174" s="95">
        <f t="shared" si="63"/>
        <v>38.139534883720913</v>
      </c>
      <c r="H174" s="115">
        <f t="shared" si="64"/>
        <v>47.033333333333289</v>
      </c>
      <c r="I174" s="115">
        <f t="shared" si="65"/>
        <v>96.141666666666509</v>
      </c>
      <c r="J174" s="115">
        <f t="shared" si="39"/>
        <v>0.80952380952380887</v>
      </c>
      <c r="K174" s="115">
        <f t="shared" si="43"/>
        <v>0.41596638655462226</v>
      </c>
      <c r="L174" s="96">
        <f t="shared" si="54"/>
        <v>212128.45411046664</v>
      </c>
      <c r="M174" s="116">
        <f t="shared" si="66"/>
        <v>-174257.71871539287</v>
      </c>
      <c r="N174" s="96">
        <f t="shared" si="55"/>
        <v>737591.31866890797</v>
      </c>
      <c r="O174" s="96">
        <f t="shared" si="61"/>
        <v>775462.05406398175</v>
      </c>
      <c r="P174" s="116">
        <f t="shared" si="67"/>
        <v>230577463.45400739</v>
      </c>
      <c r="Q174" s="97">
        <f t="shared" si="56"/>
        <v>-0.20944485998080789</v>
      </c>
      <c r="R174" s="97">
        <f t="shared" si="57"/>
        <v>8.0693973092000645E-2</v>
      </c>
      <c r="S174" s="71">
        <f t="shared" si="58"/>
        <v>-8.0693973092000645E-2</v>
      </c>
      <c r="T174" s="98">
        <f t="shared" si="47"/>
        <v>297.34203272180088</v>
      </c>
      <c r="U174" s="99">
        <f t="shared" si="48"/>
        <v>0.45326529378323305</v>
      </c>
      <c r="V174" s="93" t="str">
        <f t="shared" si="59"/>
        <v>NO</v>
      </c>
      <c r="W174" s="95">
        <f t="shared" si="49"/>
        <v>-775.46205406398178</v>
      </c>
      <c r="X174" s="95">
        <f t="shared" si="50"/>
        <v>230.57746345400739</v>
      </c>
      <c r="Y174" s="95">
        <f t="shared" si="51"/>
        <v>-230.57746345400739</v>
      </c>
      <c r="Z174" s="95">
        <f t="shared" si="52"/>
        <v>949.71977277937458</v>
      </c>
      <c r="AA174" s="93" t="str">
        <f t="shared" si="60"/>
        <v/>
      </c>
      <c r="AB174" s="100"/>
      <c r="AC174" s="71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</row>
    <row r="175" spans="1:46" ht="18.75" x14ac:dyDescent="0.25">
      <c r="A175" s="39"/>
      <c r="B175" s="39"/>
      <c r="C175" s="113">
        <f t="shared" si="62"/>
        <v>-3.5000000000000001E-3</v>
      </c>
      <c r="D175" s="94">
        <f t="shared" si="68"/>
        <v>5.6025000000000019E-2</v>
      </c>
      <c r="E175" s="94">
        <f t="shared" si="69"/>
        <v>4.9253048780487985E-4</v>
      </c>
      <c r="F175" s="93" t="s">
        <v>107</v>
      </c>
      <c r="G175" s="95">
        <f t="shared" si="63"/>
        <v>38.572028559428794</v>
      </c>
      <c r="H175" s="115">
        <f t="shared" si="64"/>
        <v>47.033333333333289</v>
      </c>
      <c r="I175" s="115">
        <f t="shared" si="65"/>
        <v>96.141666666666509</v>
      </c>
      <c r="J175" s="115">
        <f t="shared" si="39"/>
        <v>0.80952380952380887</v>
      </c>
      <c r="K175" s="115">
        <f t="shared" si="43"/>
        <v>0.41596638655462226</v>
      </c>
      <c r="L175" s="96">
        <f t="shared" si="54"/>
        <v>194270.70159606516</v>
      </c>
      <c r="M175" s="116">
        <f t="shared" si="66"/>
        <v>-176233.76172476524</v>
      </c>
      <c r="N175" s="96">
        <f t="shared" si="55"/>
        <v>737591.31866890797</v>
      </c>
      <c r="O175" s="96">
        <f t="shared" si="61"/>
        <v>755628.25854020787</v>
      </c>
      <c r="P175" s="116">
        <f t="shared" si="67"/>
        <v>237063366.92226642</v>
      </c>
      <c r="Q175" s="97">
        <f t="shared" si="56"/>
        <v>-0.2040879421218432</v>
      </c>
      <c r="R175" s="97">
        <f t="shared" si="57"/>
        <v>8.2963810361025014E-2</v>
      </c>
      <c r="S175" s="71">
        <f t="shared" si="58"/>
        <v>-8.2963810361025014E-2</v>
      </c>
      <c r="T175" s="98">
        <f t="shared" si="47"/>
        <v>313.73015003468402</v>
      </c>
      <c r="U175" s="99">
        <f t="shared" si="48"/>
        <v>0.47824717993092075</v>
      </c>
      <c r="V175" s="93" t="str">
        <f t="shared" si="59"/>
        <v>NO</v>
      </c>
      <c r="W175" s="95">
        <f t="shared" si="49"/>
        <v>-755.62825854020787</v>
      </c>
      <c r="X175" s="95">
        <f t="shared" si="50"/>
        <v>237.06336692226643</v>
      </c>
      <c r="Y175" s="95">
        <f t="shared" si="51"/>
        <v>-237.06336692226643</v>
      </c>
      <c r="Z175" s="95">
        <f t="shared" si="52"/>
        <v>931.86202026497313</v>
      </c>
      <c r="AA175" s="93" t="str">
        <f t="shared" si="60"/>
        <v/>
      </c>
      <c r="AB175" s="100"/>
      <c r="AC175" s="71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</row>
    <row r="176" spans="1:46" ht="18.75" x14ac:dyDescent="0.25">
      <c r="A176" s="39"/>
      <c r="B176" s="39"/>
      <c r="C176" s="113">
        <f t="shared" si="62"/>
        <v>-3.5000000000000001E-3</v>
      </c>
      <c r="D176" s="94">
        <f t="shared" si="68"/>
        <v>5.5350000000000017E-2</v>
      </c>
      <c r="E176" s="94">
        <f t="shared" si="69"/>
        <v>4.4725609756097686E-4</v>
      </c>
      <c r="F176" s="93" t="s">
        <v>107</v>
      </c>
      <c r="G176" s="95">
        <f t="shared" si="63"/>
        <v>39.014443500424797</v>
      </c>
      <c r="H176" s="115">
        <f t="shared" si="64"/>
        <v>47.033333333333289</v>
      </c>
      <c r="I176" s="115">
        <f t="shared" si="65"/>
        <v>96.141666666666509</v>
      </c>
      <c r="J176" s="115">
        <f t="shared" si="39"/>
        <v>0.80952380952380887</v>
      </c>
      <c r="K176" s="115">
        <f t="shared" si="43"/>
        <v>0.41596638655462226</v>
      </c>
      <c r="L176" s="96">
        <f t="shared" si="54"/>
        <v>176412.94908166348</v>
      </c>
      <c r="M176" s="116">
        <f t="shared" si="66"/>
        <v>-178255.13452279783</v>
      </c>
      <c r="N176" s="96">
        <f t="shared" si="55"/>
        <v>737591.31866890797</v>
      </c>
      <c r="O176" s="96">
        <f t="shared" si="61"/>
        <v>735749.13322777359</v>
      </c>
      <c r="P176" s="116">
        <f t="shared" si="67"/>
        <v>243562953.72534531</v>
      </c>
      <c r="Q176" s="97">
        <f t="shared" si="56"/>
        <v>-0.19871878112191604</v>
      </c>
      <c r="R176" s="97">
        <f t="shared" si="57"/>
        <v>8.5238436314230476E-2</v>
      </c>
      <c r="S176" s="71">
        <f t="shared" si="58"/>
        <v>-8.5238436314230476E-2</v>
      </c>
      <c r="T176" s="98">
        <f t="shared" si="47"/>
        <v>331.04076202824825</v>
      </c>
      <c r="U176" s="99">
        <f t="shared" si="48"/>
        <v>0.50463530796989065</v>
      </c>
      <c r="V176" s="93" t="str">
        <f t="shared" si="59"/>
        <v>NO</v>
      </c>
      <c r="W176" s="95">
        <f t="shared" si="49"/>
        <v>-735.74913322777354</v>
      </c>
      <c r="X176" s="95">
        <f t="shared" si="50"/>
        <v>243.56295372534532</v>
      </c>
      <c r="Y176" s="95">
        <f t="shared" si="51"/>
        <v>-243.56295372534532</v>
      </c>
      <c r="Z176" s="95">
        <f t="shared" si="52"/>
        <v>914.00426775057144</v>
      </c>
      <c r="AA176" s="93" t="str">
        <f t="shared" si="60"/>
        <v/>
      </c>
      <c r="AB176" s="100"/>
      <c r="AC176" s="71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</row>
    <row r="177" spans="1:46" ht="18.75" x14ac:dyDescent="0.25">
      <c r="A177" s="39"/>
      <c r="B177" s="39"/>
      <c r="C177" s="113">
        <f t="shared" si="62"/>
        <v>-3.5000000000000001E-3</v>
      </c>
      <c r="D177" s="94">
        <f t="shared" si="68"/>
        <v>5.4675000000000015E-2</v>
      </c>
      <c r="E177" s="94">
        <f t="shared" si="69"/>
        <v>4.0198170731707458E-4</v>
      </c>
      <c r="F177" s="93" t="s">
        <v>107</v>
      </c>
      <c r="G177" s="95">
        <f t="shared" si="63"/>
        <v>39.467125053717218</v>
      </c>
      <c r="H177" s="115">
        <f t="shared" si="64"/>
        <v>47.033333333333289</v>
      </c>
      <c r="I177" s="115">
        <f t="shared" si="65"/>
        <v>96.141666666666509</v>
      </c>
      <c r="J177" s="115">
        <f t="shared" si="39"/>
        <v>0.80952380952380887</v>
      </c>
      <c r="K177" s="115">
        <f t="shared" si="43"/>
        <v>0.41596638655462226</v>
      </c>
      <c r="L177" s="96">
        <f t="shared" si="54"/>
        <v>158555.19656726206</v>
      </c>
      <c r="M177" s="116">
        <f t="shared" si="66"/>
        <v>-180323.41498352645</v>
      </c>
      <c r="N177" s="96">
        <f t="shared" si="55"/>
        <v>737591.31866890797</v>
      </c>
      <c r="O177" s="96">
        <f t="shared" si="61"/>
        <v>715823.10025264358</v>
      </c>
      <c r="P177" s="116">
        <f t="shared" si="67"/>
        <v>250076674.25929871</v>
      </c>
      <c r="Q177" s="97">
        <f t="shared" si="56"/>
        <v>-0.19333695081238975</v>
      </c>
      <c r="R177" s="97">
        <f t="shared" si="57"/>
        <v>8.7518008574337725E-2</v>
      </c>
      <c r="S177" s="71">
        <f t="shared" si="58"/>
        <v>-8.7518008574337725E-2</v>
      </c>
      <c r="T177" s="98">
        <f t="shared" si="47"/>
        <v>349.35541221153147</v>
      </c>
      <c r="U177" s="99">
        <f t="shared" si="48"/>
        <v>0.53255398202977355</v>
      </c>
      <c r="V177" s="93" t="str">
        <f t="shared" si="59"/>
        <v>NO</v>
      </c>
      <c r="W177" s="95">
        <f t="shared" si="49"/>
        <v>-715.8231002526436</v>
      </c>
      <c r="X177" s="95">
        <f t="shared" si="50"/>
        <v>250.0766742592987</v>
      </c>
      <c r="Y177" s="95">
        <f t="shared" si="51"/>
        <v>-250.0766742592987</v>
      </c>
      <c r="Z177" s="95">
        <f t="shared" si="52"/>
        <v>896.14651523616999</v>
      </c>
      <c r="AA177" s="93" t="str">
        <f t="shared" si="60"/>
        <v/>
      </c>
      <c r="AB177" s="100"/>
      <c r="AC177" s="71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</row>
    <row r="178" spans="1:46" ht="18.75" x14ac:dyDescent="0.25">
      <c r="A178" s="39"/>
      <c r="B178" s="39"/>
      <c r="C178" s="113">
        <f t="shared" si="62"/>
        <v>-3.5000000000000001E-3</v>
      </c>
      <c r="D178" s="94">
        <f t="shared" si="68"/>
        <v>5.4000000000000013E-2</v>
      </c>
      <c r="E178" s="94">
        <f t="shared" si="69"/>
        <v>3.567073170731717E-4</v>
      </c>
      <c r="F178" s="93" t="s">
        <v>107</v>
      </c>
      <c r="G178" s="95">
        <f t="shared" si="63"/>
        <v>39.930434782608685</v>
      </c>
      <c r="H178" s="115">
        <f t="shared" si="64"/>
        <v>47.033333333333289</v>
      </c>
      <c r="I178" s="115">
        <f t="shared" si="65"/>
        <v>96.141666666666509</v>
      </c>
      <c r="J178" s="115">
        <f t="shared" si="39"/>
        <v>0.80952380952380887</v>
      </c>
      <c r="K178" s="115">
        <f t="shared" si="43"/>
        <v>0.41596638655462226</v>
      </c>
      <c r="L178" s="96">
        <f t="shared" si="54"/>
        <v>140697.44405286043</v>
      </c>
      <c r="M178" s="116">
        <f t="shared" si="66"/>
        <v>-182440.25507246354</v>
      </c>
      <c r="N178" s="96">
        <f t="shared" si="55"/>
        <v>737591.31866890797</v>
      </c>
      <c r="O178" s="96">
        <f t="shared" si="61"/>
        <v>695848.50764930481</v>
      </c>
      <c r="P178" s="116">
        <f t="shared" si="67"/>
        <v>256604998.83857518</v>
      </c>
      <c r="Q178" s="97">
        <f t="shared" si="56"/>
        <v>-0.18794200501323038</v>
      </c>
      <c r="R178" s="97">
        <f t="shared" si="57"/>
        <v>8.9802691734802195E-2</v>
      </c>
      <c r="S178" s="71">
        <f t="shared" si="58"/>
        <v>-8.9802691734802195E-2</v>
      </c>
      <c r="T178" s="98">
        <f t="shared" si="47"/>
        <v>368.76560920627787</v>
      </c>
      <c r="U178" s="99">
        <f t="shared" si="48"/>
        <v>0.56214269696078945</v>
      </c>
      <c r="V178" s="93" t="str">
        <f t="shared" si="59"/>
        <v>NO</v>
      </c>
      <c r="W178" s="95">
        <f t="shared" si="49"/>
        <v>-695.84850764930479</v>
      </c>
      <c r="X178" s="95">
        <f t="shared" si="50"/>
        <v>256.60499883857517</v>
      </c>
      <c r="Y178" s="95">
        <f t="shared" si="51"/>
        <v>-256.60499883857517</v>
      </c>
      <c r="Z178" s="95">
        <f t="shared" si="52"/>
        <v>878.28876272176831</v>
      </c>
      <c r="AA178" s="93" t="str">
        <f t="shared" si="60"/>
        <v/>
      </c>
      <c r="AB178" s="100"/>
      <c r="AC178" s="71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</row>
    <row r="179" spans="1:46" ht="18.75" x14ac:dyDescent="0.25">
      <c r="A179" s="39"/>
      <c r="B179" s="39"/>
      <c r="C179" s="113">
        <f t="shared" si="62"/>
        <v>-3.5000000000000001E-3</v>
      </c>
      <c r="D179" s="94">
        <f t="shared" si="68"/>
        <v>5.3325000000000011E-2</v>
      </c>
      <c r="E179" s="94">
        <f t="shared" si="69"/>
        <v>3.1143292682926941E-4</v>
      </c>
      <c r="F179" s="93" t="s">
        <v>107</v>
      </c>
      <c r="G179" s="95">
        <f t="shared" si="63"/>
        <v>40.404751429828409</v>
      </c>
      <c r="H179" s="115">
        <f t="shared" si="64"/>
        <v>47.033333333333289</v>
      </c>
      <c r="I179" s="115">
        <f t="shared" si="65"/>
        <v>96.141666666666509</v>
      </c>
      <c r="J179" s="115">
        <f t="shared" si="39"/>
        <v>0.80952380952380887</v>
      </c>
      <c r="K179" s="115">
        <f t="shared" si="43"/>
        <v>0.41596638655462226</v>
      </c>
      <c r="L179" s="96">
        <f t="shared" si="54"/>
        <v>122839.69153845902</v>
      </c>
      <c r="M179" s="116">
        <f t="shared" si="66"/>
        <v>-184607.38524710343</v>
      </c>
      <c r="N179" s="96">
        <f t="shared" si="55"/>
        <v>737591.31866890797</v>
      </c>
      <c r="O179" s="96">
        <f t="shared" si="61"/>
        <v>675823.62496026361</v>
      </c>
      <c r="P179" s="116">
        <f t="shared" si="67"/>
        <v>263148418.80506775</v>
      </c>
      <c r="Q179" s="97">
        <f t="shared" si="56"/>
        <v>-0.18253347634447326</v>
      </c>
      <c r="R179" s="97">
        <f t="shared" si="57"/>
        <v>9.2092657747942633E-2</v>
      </c>
      <c r="S179" s="71">
        <f t="shared" si="58"/>
        <v>-9.2092657747942633E-2</v>
      </c>
      <c r="T179" s="98">
        <f t="shared" si="47"/>
        <v>389.37440048879631</v>
      </c>
      <c r="U179" s="99">
        <f t="shared" si="48"/>
        <v>0.59355853733048214</v>
      </c>
      <c r="V179" s="93" t="str">
        <f t="shared" si="59"/>
        <v>NO</v>
      </c>
      <c r="W179" s="95">
        <f t="shared" si="49"/>
        <v>-675.8236249602636</v>
      </c>
      <c r="X179" s="95">
        <f t="shared" si="50"/>
        <v>263.14841880506776</v>
      </c>
      <c r="Y179" s="95">
        <f t="shared" si="51"/>
        <v>-263.14841880506776</v>
      </c>
      <c r="Z179" s="95">
        <f t="shared" si="52"/>
        <v>860.43101020736697</v>
      </c>
      <c r="AA179" s="93" t="str">
        <f t="shared" si="60"/>
        <v/>
      </c>
      <c r="AB179" s="100"/>
      <c r="AC179" s="71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</row>
    <row r="180" spans="1:46" ht="18.75" x14ac:dyDescent="0.25">
      <c r="A180" s="39"/>
      <c r="B180" s="39"/>
      <c r="C180" s="113">
        <f t="shared" si="62"/>
        <v>-3.5000000000000001E-3</v>
      </c>
      <c r="D180" s="94">
        <f t="shared" si="68"/>
        <v>5.2650000000000009E-2</v>
      </c>
      <c r="E180" s="94">
        <f t="shared" si="69"/>
        <v>2.6615853658536626E-4</v>
      </c>
      <c r="F180" s="93" t="s">
        <v>107</v>
      </c>
      <c r="G180" s="95">
        <f t="shared" si="63"/>
        <v>40.890471950133566</v>
      </c>
      <c r="H180" s="115">
        <f t="shared" si="64"/>
        <v>47.033333333333289</v>
      </c>
      <c r="I180" s="115">
        <f t="shared" si="65"/>
        <v>96.141666666666509</v>
      </c>
      <c r="J180" s="115">
        <f t="shared" si="39"/>
        <v>0.80952380952380887</v>
      </c>
      <c r="K180" s="115">
        <f t="shared" si="43"/>
        <v>0.41596638655462226</v>
      </c>
      <c r="L180" s="96">
        <f t="shared" si="54"/>
        <v>104981.93902405727</v>
      </c>
      <c r="M180" s="116">
        <f t="shared" si="66"/>
        <v>-186826.6191748291</v>
      </c>
      <c r="N180" s="96">
        <f t="shared" si="55"/>
        <v>737591.31866890797</v>
      </c>
      <c r="O180" s="96">
        <f t="shared" si="61"/>
        <v>655746.63851813611</v>
      </c>
      <c r="P180" s="116">
        <f t="shared" si="67"/>
        <v>269707447.71176106</v>
      </c>
      <c r="Q180" s="97">
        <f t="shared" si="56"/>
        <v>-0.17711087495196071</v>
      </c>
      <c r="R180" s="97">
        <f t="shared" si="57"/>
        <v>9.4388086339175878E-2</v>
      </c>
      <c r="S180" s="71">
        <f t="shared" si="58"/>
        <v>-9.4388086339175878E-2</v>
      </c>
      <c r="T180" s="98">
        <f t="shared" si="47"/>
        <v>411.29825433989123</v>
      </c>
      <c r="U180" s="99">
        <f t="shared" si="48"/>
        <v>0.62697904624983414</v>
      </c>
      <c r="V180" s="93" t="str">
        <f t="shared" si="59"/>
        <v>NO</v>
      </c>
      <c r="W180" s="95">
        <f t="shared" si="49"/>
        <v>-655.74663851813614</v>
      </c>
      <c r="X180" s="95">
        <f t="shared" si="50"/>
        <v>269.70744771176106</v>
      </c>
      <c r="Y180" s="95">
        <f t="shared" si="51"/>
        <v>-269.70744771176106</v>
      </c>
      <c r="Z180" s="95">
        <f t="shared" si="52"/>
        <v>842.57325769296517</v>
      </c>
      <c r="AA180" s="93" t="str">
        <f t="shared" si="60"/>
        <v/>
      </c>
      <c r="AB180" s="100"/>
      <c r="AC180" s="71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</row>
    <row r="181" spans="1:46" ht="18.75" x14ac:dyDescent="0.25">
      <c r="A181" s="39"/>
      <c r="B181" s="39"/>
      <c r="C181" s="113">
        <f t="shared" si="62"/>
        <v>-3.5000000000000001E-3</v>
      </c>
      <c r="D181" s="94">
        <f t="shared" si="68"/>
        <v>5.1975000000000007E-2</v>
      </c>
      <c r="E181" s="94">
        <f t="shared" si="69"/>
        <v>2.2088414634146357E-4</v>
      </c>
      <c r="F181" s="93" t="s">
        <v>107</v>
      </c>
      <c r="G181" s="95">
        <f t="shared" si="63"/>
        <v>41.388012618296528</v>
      </c>
      <c r="H181" s="115">
        <f t="shared" si="64"/>
        <v>47.033333333333289</v>
      </c>
      <c r="I181" s="115">
        <f t="shared" si="65"/>
        <v>96.141666666666509</v>
      </c>
      <c r="J181" s="115">
        <f t="shared" si="39"/>
        <v>0.80952380952380887</v>
      </c>
      <c r="K181" s="115">
        <f t="shared" si="43"/>
        <v>0.41596638655462226</v>
      </c>
      <c r="L181" s="96">
        <f t="shared" si="54"/>
        <v>87124.186509655701</v>
      </c>
      <c r="M181" s="116">
        <f t="shared" si="66"/>
        <v>-189099.85879525292</v>
      </c>
      <c r="N181" s="96">
        <f t="shared" si="55"/>
        <v>737591.31866890797</v>
      </c>
      <c r="O181" s="96">
        <f t="shared" si="61"/>
        <v>635615.64638331078</v>
      </c>
      <c r="P181" s="116">
        <f t="shared" si="67"/>
        <v>276282622.58686042</v>
      </c>
      <c r="Q181" s="97">
        <f t="shared" si="56"/>
        <v>-0.17167368714005346</v>
      </c>
      <c r="R181" s="97">
        <f t="shared" si="57"/>
        <v>9.6689165449417275E-2</v>
      </c>
      <c r="S181" s="71">
        <f t="shared" si="58"/>
        <v>-9.6689165449417275E-2</v>
      </c>
      <c r="T181" s="98">
        <f t="shared" si="47"/>
        <v>434.66932281941808</v>
      </c>
      <c r="U181" s="99">
        <f t="shared" si="48"/>
        <v>0.66260567502960077</v>
      </c>
      <c r="V181" s="93" t="str">
        <f t="shared" si="59"/>
        <v>NO</v>
      </c>
      <c r="W181" s="95">
        <f t="shared" si="49"/>
        <v>-635.61564638331083</v>
      </c>
      <c r="X181" s="95">
        <f t="shared" si="50"/>
        <v>276.28262258686044</v>
      </c>
      <c r="Y181" s="95">
        <f t="shared" si="51"/>
        <v>-276.28262258686044</v>
      </c>
      <c r="Z181" s="95">
        <f t="shared" si="52"/>
        <v>824.7155051785636</v>
      </c>
      <c r="AA181" s="93" t="str">
        <f t="shared" si="60"/>
        <v/>
      </c>
      <c r="AB181" s="100"/>
      <c r="AC181" s="71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</row>
    <row r="182" spans="1:46" ht="18.75" x14ac:dyDescent="0.25">
      <c r="A182" s="39"/>
      <c r="B182" s="39"/>
      <c r="C182" s="113">
        <f t="shared" si="62"/>
        <v>-3.5000000000000001E-3</v>
      </c>
      <c r="D182" s="94">
        <f t="shared" si="68"/>
        <v>5.1300000000000005E-2</v>
      </c>
      <c r="E182" s="94">
        <f t="shared" si="69"/>
        <v>1.756097560975617E-4</v>
      </c>
      <c r="F182" s="93" t="s">
        <v>107</v>
      </c>
      <c r="G182" s="95">
        <f t="shared" si="63"/>
        <v>41.897810218978094</v>
      </c>
      <c r="H182" s="115">
        <f t="shared" si="64"/>
        <v>47.033333333333289</v>
      </c>
      <c r="I182" s="115">
        <f t="shared" si="65"/>
        <v>96.141666666666509</v>
      </c>
      <c r="J182" s="115">
        <f t="shared" si="39"/>
        <v>0.80952380952380887</v>
      </c>
      <c r="K182" s="115">
        <f t="shared" si="43"/>
        <v>0.41596638655462226</v>
      </c>
      <c r="L182" s="96">
        <f t="shared" si="54"/>
        <v>69266.433995254454</v>
      </c>
      <c r="M182" s="116">
        <f t="shared" si="66"/>
        <v>-191429.09975669076</v>
      </c>
      <c r="N182" s="96">
        <f t="shared" si="55"/>
        <v>737591.31866890797</v>
      </c>
      <c r="O182" s="96">
        <f t="shared" si="61"/>
        <v>615428.65290747164</v>
      </c>
      <c r="P182" s="116">
        <f t="shared" si="67"/>
        <v>282874505.28482711</v>
      </c>
      <c r="Q182" s="97">
        <f t="shared" si="56"/>
        <v>-0.16622137390329028</v>
      </c>
      <c r="R182" s="97">
        <f t="shared" si="57"/>
        <v>9.8996091707895487E-2</v>
      </c>
      <c r="S182" s="71">
        <f t="shared" si="58"/>
        <v>-9.8996091707895487E-2</v>
      </c>
      <c r="T182" s="98">
        <f t="shared" si="47"/>
        <v>459.6381789317773</v>
      </c>
      <c r="U182" s="134">
        <f t="shared" si="48"/>
        <v>0.7006679556886849</v>
      </c>
      <c r="V182" s="93" t="str">
        <f t="shared" si="59"/>
        <v>NO</v>
      </c>
      <c r="W182" s="95">
        <f t="shared" si="49"/>
        <v>-615.42865290747159</v>
      </c>
      <c r="X182" s="95">
        <f t="shared" si="50"/>
        <v>282.87450528482714</v>
      </c>
      <c r="Y182" s="95">
        <f t="shared" si="51"/>
        <v>-282.87450528482714</v>
      </c>
      <c r="Z182" s="95">
        <f t="shared" si="52"/>
        <v>806.85775266416238</v>
      </c>
      <c r="AA182" s="93" t="str">
        <f t="shared" si="60"/>
        <v/>
      </c>
      <c r="AB182" s="100"/>
      <c r="AC182" s="71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</row>
    <row r="183" spans="1:46" ht="18.75" x14ac:dyDescent="0.25">
      <c r="A183" s="39"/>
      <c r="B183" s="39"/>
      <c r="C183" s="113">
        <f t="shared" si="62"/>
        <v>-3.5000000000000001E-3</v>
      </c>
      <c r="D183" s="94">
        <f t="shared" si="68"/>
        <v>5.0625000000000003E-2</v>
      </c>
      <c r="E183" s="94">
        <f t="shared" si="69"/>
        <v>1.3033536585365925E-4</v>
      </c>
      <c r="F183" s="93" t="s">
        <v>107</v>
      </c>
      <c r="G183" s="95">
        <f t="shared" si="63"/>
        <v>42.420323325635096</v>
      </c>
      <c r="H183" s="115">
        <f t="shared" si="64"/>
        <v>47.033333333333289</v>
      </c>
      <c r="I183" s="115">
        <f t="shared" si="65"/>
        <v>96.141666666666509</v>
      </c>
      <c r="J183" s="115">
        <f t="shared" si="39"/>
        <v>0.80952380952380887</v>
      </c>
      <c r="K183" s="115">
        <f t="shared" si="43"/>
        <v>0.41596638655462226</v>
      </c>
      <c r="L183" s="96">
        <f t="shared" si="54"/>
        <v>51408.681480852989</v>
      </c>
      <c r="M183" s="116">
        <f t="shared" si="66"/>
        <v>-193816.43725943009</v>
      </c>
      <c r="N183" s="96">
        <f t="shared" si="55"/>
        <v>737591.31866890797</v>
      </c>
      <c r="O183" s="96">
        <f t="shared" si="61"/>
        <v>595183.5628903308</v>
      </c>
      <c r="P183" s="116">
        <f t="shared" si="67"/>
        <v>289483683.93132961</v>
      </c>
      <c r="Q183" s="97">
        <f t="shared" si="56"/>
        <v>-0.16075336934817758</v>
      </c>
      <c r="R183" s="97">
        <f t="shared" si="57"/>
        <v>0.10130907093783431</v>
      </c>
      <c r="S183" s="71">
        <f t="shared" si="58"/>
        <v>-0.10130907093783431</v>
      </c>
      <c r="T183" s="98">
        <f t="shared" si="47"/>
        <v>486.37714812811487</v>
      </c>
      <c r="U183" s="134">
        <f t="shared" si="48"/>
        <v>0.74142857946358975</v>
      </c>
      <c r="V183" s="93" t="str">
        <f t="shared" si="59"/>
        <v>NO</v>
      </c>
      <c r="W183" s="95">
        <f t="shared" si="49"/>
        <v>-595.18356289033079</v>
      </c>
      <c r="X183" s="95">
        <f t="shared" si="50"/>
        <v>289.48368393132961</v>
      </c>
      <c r="Y183" s="95">
        <f t="shared" si="51"/>
        <v>-289.48368393132961</v>
      </c>
      <c r="Z183" s="95">
        <f t="shared" si="52"/>
        <v>789.00000014976092</v>
      </c>
      <c r="AA183" s="93" t="str">
        <f t="shared" si="60"/>
        <v/>
      </c>
      <c r="AB183" s="100"/>
      <c r="AC183" s="71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</row>
    <row r="184" spans="1:46" ht="18.75" x14ac:dyDescent="0.25">
      <c r="A184" s="39"/>
      <c r="B184" s="39"/>
      <c r="C184" s="113">
        <f t="shared" si="62"/>
        <v>-3.5000000000000001E-3</v>
      </c>
      <c r="D184" s="94">
        <f t="shared" si="68"/>
        <v>4.9950000000000001E-2</v>
      </c>
      <c r="E184" s="94">
        <f t="shared" si="69"/>
        <v>8.5060975609756721E-5</v>
      </c>
      <c r="F184" s="93" t="s">
        <v>107</v>
      </c>
      <c r="G184" s="95">
        <f t="shared" si="63"/>
        <v>42.956033676333014</v>
      </c>
      <c r="H184" s="115">
        <f t="shared" si="64"/>
        <v>47.033333333333289</v>
      </c>
      <c r="I184" s="115">
        <f t="shared" si="65"/>
        <v>96.141666666666509</v>
      </c>
      <c r="J184" s="115">
        <f t="shared" si="39"/>
        <v>0.80952380952380887</v>
      </c>
      <c r="K184" s="115">
        <f t="shared" si="43"/>
        <v>0.41596638655462226</v>
      </c>
      <c r="L184" s="96">
        <f t="shared" si="54"/>
        <v>33550.928966451487</v>
      </c>
      <c r="M184" s="116">
        <f t="shared" si="66"/>
        <v>-196264.07234175218</v>
      </c>
      <c r="N184" s="96">
        <f t="shared" si="55"/>
        <v>737591.31866890797</v>
      </c>
      <c r="O184" s="96">
        <f t="shared" si="61"/>
        <v>574878.17529360729</v>
      </c>
      <c r="P184" s="116">
        <f t="shared" si="67"/>
        <v>296110774.46976823</v>
      </c>
      <c r="Q184" s="97">
        <f t="shared" si="56"/>
        <v>-0.15526907899539535</v>
      </c>
      <c r="R184" s="97">
        <f t="shared" si="57"/>
        <v>0.10362831869768177</v>
      </c>
      <c r="S184" s="71">
        <f t="shared" si="58"/>
        <v>-0.10362831869768177</v>
      </c>
      <c r="T184" s="98">
        <f t="shared" si="47"/>
        <v>515.08439039025211</v>
      </c>
      <c r="U184" s="134">
        <f t="shared" si="48"/>
        <v>0.78518961949733557</v>
      </c>
      <c r="V184" s="93" t="str">
        <f t="shared" si="59"/>
        <v>NO</v>
      </c>
      <c r="W184" s="95">
        <f t="shared" si="49"/>
        <v>-574.87817529360734</v>
      </c>
      <c r="X184" s="95">
        <f t="shared" si="50"/>
        <v>296.11077446976822</v>
      </c>
      <c r="Y184" s="95">
        <f t="shared" si="51"/>
        <v>-296.11077446976822</v>
      </c>
      <c r="Z184" s="95">
        <f t="shared" si="52"/>
        <v>771.14224763535935</v>
      </c>
      <c r="AA184" s="93" t="str">
        <f t="shared" si="60"/>
        <v/>
      </c>
      <c r="AB184" s="100"/>
      <c r="AC184" s="71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</row>
    <row r="185" spans="1:46" ht="18.75" x14ac:dyDescent="0.25">
      <c r="A185" s="39"/>
      <c r="B185" s="39"/>
      <c r="C185" s="113">
        <f t="shared" si="62"/>
        <v>-3.5000000000000001E-3</v>
      </c>
      <c r="D185" s="94">
        <f t="shared" si="68"/>
        <v>4.9274999999999999E-2</v>
      </c>
      <c r="E185" s="94">
        <f t="shared" si="69"/>
        <v>3.9786585365854003E-5</v>
      </c>
      <c r="F185" s="93" t="s">
        <v>107</v>
      </c>
      <c r="G185" s="95">
        <f t="shared" si="63"/>
        <v>43.50544765513974</v>
      </c>
      <c r="H185" s="115">
        <f t="shared" si="64"/>
        <v>47.033333333333289</v>
      </c>
      <c r="I185" s="115">
        <f t="shared" si="65"/>
        <v>96.141666666666509</v>
      </c>
      <c r="J185" s="115">
        <f t="shared" si="39"/>
        <v>0.80952380952380887</v>
      </c>
      <c r="K185" s="115">
        <f t="shared" si="43"/>
        <v>0.41596638655462226</v>
      </c>
      <c r="L185" s="96">
        <f t="shared" si="54"/>
        <v>15693.176452049909</v>
      </c>
      <c r="M185" s="116">
        <f t="shared" si="66"/>
        <v>-198774.3186483497</v>
      </c>
      <c r="N185" s="96">
        <f t="shared" si="55"/>
        <v>737591.31866890797</v>
      </c>
      <c r="O185" s="96">
        <f t="shared" si="61"/>
        <v>554510.17647260823</v>
      </c>
      <c r="P185" s="116">
        <f t="shared" si="67"/>
        <v>302756422.31775331</v>
      </c>
      <c r="Q185" s="97">
        <f t="shared" si="56"/>
        <v>-0.14976787795171226</v>
      </c>
      <c r="R185" s="97">
        <f t="shared" si="57"/>
        <v>0.10595406086081902</v>
      </c>
      <c r="S185" s="71">
        <f t="shared" si="58"/>
        <v>-0.10595406086081902</v>
      </c>
      <c r="T185" s="98">
        <f t="shared" si="47"/>
        <v>545.98893791935473</v>
      </c>
      <c r="U185" s="134">
        <f t="shared" si="48"/>
        <v>0.83230021024291878</v>
      </c>
      <c r="V185" s="93" t="str">
        <f t="shared" si="59"/>
        <v>NO</v>
      </c>
      <c r="W185" s="95">
        <f t="shared" si="49"/>
        <v>-554.51017647260824</v>
      </c>
      <c r="X185" s="95">
        <f t="shared" si="50"/>
        <v>302.75642231775333</v>
      </c>
      <c r="Y185" s="95">
        <f t="shared" si="51"/>
        <v>-302.75642231775333</v>
      </c>
      <c r="Z185" s="95">
        <f t="shared" si="52"/>
        <v>753.2844951209579</v>
      </c>
      <c r="AA185" s="93" t="str">
        <f t="shared" si="60"/>
        <v/>
      </c>
      <c r="AB185" s="100"/>
      <c r="AC185" s="71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</row>
    <row r="186" spans="1:46" ht="18.75" x14ac:dyDescent="0.25">
      <c r="A186" s="39"/>
      <c r="B186" s="39"/>
      <c r="C186" s="113">
        <f t="shared" si="62"/>
        <v>-3.5000000000000001E-3</v>
      </c>
      <c r="D186" s="94">
        <f t="shared" si="68"/>
        <v>4.8599999999999997E-2</v>
      </c>
      <c r="E186" s="94">
        <f t="shared" si="69"/>
        <v>-5.4878048780491443E-6</v>
      </c>
      <c r="F186" s="93" t="s">
        <v>107</v>
      </c>
      <c r="G186" s="95">
        <f t="shared" si="63"/>
        <v>44.069097888675628</v>
      </c>
      <c r="H186" s="115">
        <f t="shared" si="64"/>
        <v>47.033333333333289</v>
      </c>
      <c r="I186" s="115">
        <f t="shared" si="65"/>
        <v>96.141666666666509</v>
      </c>
      <c r="J186" s="115">
        <f t="shared" ref="J186:J249" si="70">H186/($I$10*(-$I$12))</f>
        <v>0.80952380952380887</v>
      </c>
      <c r="K186" s="115">
        <f t="shared" si="43"/>
        <v>0.41596638655462226</v>
      </c>
      <c r="L186" s="96">
        <f t="shared" si="54"/>
        <v>-2164.5760623518363</v>
      </c>
      <c r="M186" s="116">
        <f t="shared" si="66"/>
        <v>-201349.60972488785</v>
      </c>
      <c r="N186" s="96">
        <f t="shared" si="55"/>
        <v>737591.31866890797</v>
      </c>
      <c r="O186" s="96">
        <f t="shared" si="61"/>
        <v>534077.13288166828</v>
      </c>
      <c r="P186" s="116">
        <f t="shared" si="67"/>
        <v>309421304.1427049</v>
      </c>
      <c r="Q186" s="97">
        <f t="shared" si="56"/>
        <v>-0.14424910893979481</v>
      </c>
      <c r="R186" s="97">
        <f t="shared" si="57"/>
        <v>0.10828653423695746</v>
      </c>
      <c r="S186" s="71">
        <f t="shared" si="58"/>
        <v>-0.10828653423695746</v>
      </c>
      <c r="T186" s="98">
        <f t="shared" si="47"/>
        <v>579.35696005779232</v>
      </c>
      <c r="U186" s="134">
        <f t="shared" si="48"/>
        <v>0.88316609764907361</v>
      </c>
      <c r="V186" s="93" t="str">
        <f t="shared" si="59"/>
        <v>NO</v>
      </c>
      <c r="W186" s="95">
        <f t="shared" si="49"/>
        <v>-534.07713288166826</v>
      </c>
      <c r="X186" s="95">
        <f t="shared" si="50"/>
        <v>309.42130414270491</v>
      </c>
      <c r="Y186" s="95">
        <f t="shared" si="51"/>
        <v>-309.42130414270491</v>
      </c>
      <c r="Z186" s="95">
        <f t="shared" si="52"/>
        <v>735.4267426065561</v>
      </c>
      <c r="AA186" s="93" t="str">
        <f t="shared" si="60"/>
        <v/>
      </c>
      <c r="AB186" s="100"/>
      <c r="AC186" s="71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</row>
    <row r="187" spans="1:46" ht="18.75" x14ac:dyDescent="0.25">
      <c r="A187" s="39"/>
      <c r="B187" s="39"/>
      <c r="C187" s="113">
        <f t="shared" si="62"/>
        <v>-3.5000000000000001E-3</v>
      </c>
      <c r="D187" s="94">
        <f t="shared" si="68"/>
        <v>4.7924999999999995E-2</v>
      </c>
      <c r="E187" s="94">
        <f t="shared" si="69"/>
        <v>-5.0762195121951033E-5</v>
      </c>
      <c r="F187" s="93" t="s">
        <v>107</v>
      </c>
      <c r="G187" s="95">
        <f t="shared" si="63"/>
        <v>44.647544968400581</v>
      </c>
      <c r="H187" s="115">
        <f t="shared" si="64"/>
        <v>47.033333333333289</v>
      </c>
      <c r="I187" s="115">
        <f t="shared" si="65"/>
        <v>96.141666666666509</v>
      </c>
      <c r="J187" s="115">
        <f t="shared" si="70"/>
        <v>0.80952380952380887</v>
      </c>
      <c r="K187" s="115">
        <f t="shared" ref="K187:K250" si="71">1-(I187/H187)/(-C187*10^3)</f>
        <v>0.41596638655462226</v>
      </c>
      <c r="L187" s="96">
        <f t="shared" si="54"/>
        <v>-20022.328576753087</v>
      </c>
      <c r="M187" s="116">
        <f t="shared" si="66"/>
        <v>-203992.50688705212</v>
      </c>
      <c r="N187" s="96">
        <f t="shared" si="55"/>
        <v>737591.31866890797</v>
      </c>
      <c r="O187" s="96">
        <f t="shared" si="61"/>
        <v>513576.48320510273</v>
      </c>
      <c r="P187" s="116">
        <f t="shared" si="67"/>
        <v>316106129.76661992</v>
      </c>
      <c r="Q187" s="97">
        <f t="shared" si="56"/>
        <v>-0.13871208017285322</v>
      </c>
      <c r="R187" s="97">
        <f t="shared" si="57"/>
        <v>0.11062598723874015</v>
      </c>
      <c r="S187" s="71">
        <f t="shared" si="58"/>
        <v>-0.11062598723874015</v>
      </c>
      <c r="T187" s="98">
        <f t="shared" si="47"/>
        <v>615.4996190516365</v>
      </c>
      <c r="U187" s="134">
        <f t="shared" si="48"/>
        <v>0.9382616144079825</v>
      </c>
      <c r="V187" s="93" t="str">
        <f t="shared" si="59"/>
        <v>NO</v>
      </c>
      <c r="W187" s="95">
        <f t="shared" si="49"/>
        <v>-513.5764832051027</v>
      </c>
      <c r="X187" s="95">
        <f t="shared" si="50"/>
        <v>316.10612976661992</v>
      </c>
      <c r="Y187" s="95">
        <f t="shared" si="51"/>
        <v>-316.10612976661992</v>
      </c>
      <c r="Z187" s="95">
        <f t="shared" si="52"/>
        <v>717.56899009215499</v>
      </c>
      <c r="AA187" s="93" t="str">
        <f t="shared" si="60"/>
        <v/>
      </c>
      <c r="AB187" s="100"/>
      <c r="AC187" s="71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</row>
    <row r="188" spans="1:46" ht="18.75" x14ac:dyDescent="0.25">
      <c r="A188" s="39"/>
      <c r="B188" s="39"/>
      <c r="C188" s="113">
        <f t="shared" si="62"/>
        <v>-3.5000000000000001E-3</v>
      </c>
      <c r="D188" s="94">
        <f t="shared" si="68"/>
        <v>4.7249999999999993E-2</v>
      </c>
      <c r="E188" s="94">
        <f t="shared" si="69"/>
        <v>-9.6036585365854042E-5</v>
      </c>
      <c r="F188" s="93" t="s">
        <v>107</v>
      </c>
      <c r="G188" s="95">
        <f t="shared" si="63"/>
        <v>45.241379310344833</v>
      </c>
      <c r="H188" s="115">
        <f t="shared" si="64"/>
        <v>47.033333333333289</v>
      </c>
      <c r="I188" s="115">
        <f t="shared" si="65"/>
        <v>96.141666666666509</v>
      </c>
      <c r="J188" s="115">
        <f t="shared" si="70"/>
        <v>0.80952380952380887</v>
      </c>
      <c r="K188" s="115">
        <f t="shared" si="71"/>
        <v>0.41596638655462226</v>
      </c>
      <c r="L188" s="96">
        <f t="shared" si="54"/>
        <v>-37880.081091154781</v>
      </c>
      <c r="M188" s="116">
        <f t="shared" si="66"/>
        <v>-206705.7077175696</v>
      </c>
      <c r="N188" s="96">
        <f t="shared" si="55"/>
        <v>737591.31866890797</v>
      </c>
      <c r="O188" s="96">
        <f t="shared" si="61"/>
        <v>493005.5298601836</v>
      </c>
      <c r="P188" s="116">
        <f t="shared" si="67"/>
        <v>322811644.21103013</v>
      </c>
      <c r="Q188" s="97">
        <f t="shared" si="56"/>
        <v>-0.13315606305967695</v>
      </c>
      <c r="R188" s="97">
        <f t="shared" si="57"/>
        <v>0.11297268059740478</v>
      </c>
      <c r="S188" s="71">
        <f t="shared" si="58"/>
        <v>-0.11297268059740478</v>
      </c>
      <c r="T188" s="98">
        <f t="shared" si="47"/>
        <v>654.78300882868302</v>
      </c>
      <c r="U188" s="134">
        <f t="shared" si="48"/>
        <v>0.99814483053152903</v>
      </c>
      <c r="V188" s="93" t="str">
        <f t="shared" si="59"/>
        <v>NO</v>
      </c>
      <c r="W188" s="95">
        <f t="shared" si="49"/>
        <v>-493.00552986018357</v>
      </c>
      <c r="X188" s="95">
        <f t="shared" si="50"/>
        <v>322.81164421103011</v>
      </c>
      <c r="Y188" s="95">
        <f t="shared" si="51"/>
        <v>-322.81164421103011</v>
      </c>
      <c r="Z188" s="95">
        <f t="shared" si="52"/>
        <v>699.7112375777532</v>
      </c>
      <c r="AA188" s="93" t="str">
        <f t="shared" si="60"/>
        <v/>
      </c>
      <c r="AB188" s="100"/>
      <c r="AC188" s="71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</row>
    <row r="189" spans="1:46" ht="18.75" x14ac:dyDescent="0.25">
      <c r="A189" s="39"/>
      <c r="B189" s="39"/>
      <c r="C189" s="113">
        <f t="shared" si="62"/>
        <v>-3.5000000000000001E-3</v>
      </c>
      <c r="D189" s="94">
        <f t="shared" si="68"/>
        <v>4.6574999999999991E-2</v>
      </c>
      <c r="E189" s="94">
        <f t="shared" si="69"/>
        <v>-1.4131097560975614E-4</v>
      </c>
      <c r="F189" s="93" t="s">
        <v>107</v>
      </c>
      <c r="G189" s="95">
        <f t="shared" si="63"/>
        <v>45.851223165252122</v>
      </c>
      <c r="H189" s="115">
        <f t="shared" si="64"/>
        <v>47.033333333333289</v>
      </c>
      <c r="I189" s="115">
        <f t="shared" si="65"/>
        <v>96.141666666666509</v>
      </c>
      <c r="J189" s="115">
        <f t="shared" si="70"/>
        <v>0.80952380952380887</v>
      </c>
      <c r="K189" s="115">
        <f t="shared" si="71"/>
        <v>0.41596638655462226</v>
      </c>
      <c r="L189" s="96">
        <f t="shared" si="54"/>
        <v>-55737.833605556109</v>
      </c>
      <c r="M189" s="116">
        <f t="shared" si="66"/>
        <v>-209492.05525045743</v>
      </c>
      <c r="N189" s="96">
        <f t="shared" si="55"/>
        <v>737591.31866890797</v>
      </c>
      <c r="O189" s="96">
        <f t="shared" si="61"/>
        <v>472361.42981289444</v>
      </c>
      <c r="P189" s="116">
        <f t="shared" si="67"/>
        <v>329538629.8942433</v>
      </c>
      <c r="Q189" s="97">
        <f t="shared" si="56"/>
        <v>-0.12758028972405797</v>
      </c>
      <c r="R189" s="97">
        <f t="shared" si="57"/>
        <v>0.11532688813174065</v>
      </c>
      <c r="S189" s="71">
        <f t="shared" si="58"/>
        <v>-0.11532688813174065</v>
      </c>
      <c r="T189" s="98">
        <f t="shared" si="47"/>
        <v>697.640851042338</v>
      </c>
      <c r="U189" s="134">
        <f t="shared" si="48"/>
        <v>1.0634769070767347</v>
      </c>
      <c r="V189" s="93" t="str">
        <f t="shared" si="59"/>
        <v>NO</v>
      </c>
      <c r="W189" s="95">
        <f t="shared" si="49"/>
        <v>-472.36142981289441</v>
      </c>
      <c r="X189" s="95">
        <f t="shared" si="50"/>
        <v>329.53862989424329</v>
      </c>
      <c r="Y189" s="95">
        <f t="shared" si="51"/>
        <v>-329.53862989424329</v>
      </c>
      <c r="Z189" s="95">
        <f t="shared" si="52"/>
        <v>681.85348506335197</v>
      </c>
      <c r="AA189" s="93" t="str">
        <f t="shared" si="60"/>
        <v/>
      </c>
      <c r="AB189" s="100"/>
      <c r="AC189" s="71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</row>
    <row r="190" spans="1:46" ht="18.75" x14ac:dyDescent="0.25">
      <c r="A190" s="39"/>
      <c r="B190" s="39"/>
      <c r="C190" s="113">
        <f t="shared" si="62"/>
        <v>-3.5000000000000001E-3</v>
      </c>
      <c r="D190" s="94">
        <f t="shared" si="68"/>
        <v>4.5899999999999989E-2</v>
      </c>
      <c r="E190" s="94">
        <f t="shared" si="69"/>
        <v>-1.8658536585365934E-4</v>
      </c>
      <c r="F190" s="93" t="s">
        <v>107</v>
      </c>
      <c r="G190" s="95">
        <f t="shared" si="63"/>
        <v>46.477732793522279</v>
      </c>
      <c r="H190" s="115">
        <f t="shared" si="64"/>
        <v>47.033333333333289</v>
      </c>
      <c r="I190" s="115">
        <f t="shared" si="65"/>
        <v>96.141666666666509</v>
      </c>
      <c r="J190" s="115">
        <f t="shared" si="70"/>
        <v>0.80952380952380887</v>
      </c>
      <c r="K190" s="115">
        <f t="shared" si="71"/>
        <v>0.41596638655462226</v>
      </c>
      <c r="L190" s="96">
        <f t="shared" si="54"/>
        <v>-73595.586119957879</v>
      </c>
      <c r="M190" s="116">
        <f t="shared" si="66"/>
        <v>-212354.54790823194</v>
      </c>
      <c r="N190" s="96">
        <f t="shared" si="55"/>
        <v>737591.31866890797</v>
      </c>
      <c r="O190" s="96">
        <f t="shared" si="61"/>
        <v>451641.18464071816</v>
      </c>
      <c r="P190" s="116">
        <f t="shared" si="67"/>
        <v>336287908.99416852</v>
      </c>
      <c r="Q190" s="97">
        <f t="shared" si="56"/>
        <v>-0.12198395032084533</v>
      </c>
      <c r="R190" s="97">
        <f t="shared" si="57"/>
        <v>0.117688897574994</v>
      </c>
      <c r="S190" s="71">
        <f t="shared" si="58"/>
        <v>-0.117688897574994</v>
      </c>
      <c r="T190" s="98">
        <f t="shared" si="47"/>
        <v>744.59088415881843</v>
      </c>
      <c r="U190" s="134">
        <f t="shared" si="48"/>
        <v>1.135047079510394</v>
      </c>
      <c r="V190" s="93" t="str">
        <f t="shared" si="59"/>
        <v>NO</v>
      </c>
      <c r="W190" s="95">
        <f t="shared" si="49"/>
        <v>-451.64118464071817</v>
      </c>
      <c r="X190" s="95">
        <f t="shared" si="50"/>
        <v>336.2879089941685</v>
      </c>
      <c r="Y190" s="95">
        <f t="shared" si="51"/>
        <v>-336.2879089941685</v>
      </c>
      <c r="Z190" s="95">
        <f t="shared" si="52"/>
        <v>663.99573254895017</v>
      </c>
      <c r="AA190" s="93" t="str">
        <f t="shared" si="60"/>
        <v/>
      </c>
      <c r="AB190" s="100"/>
      <c r="AC190" s="71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</row>
    <row r="191" spans="1:46" ht="18.75" x14ac:dyDescent="0.25">
      <c r="A191" s="39"/>
      <c r="B191" s="39"/>
      <c r="C191" s="113">
        <f t="shared" si="62"/>
        <v>-3.5000000000000001E-3</v>
      </c>
      <c r="D191" s="94">
        <f t="shared" si="68"/>
        <v>4.5224999999999987E-2</v>
      </c>
      <c r="E191" s="94">
        <f t="shared" si="69"/>
        <v>-2.3185975609756163E-4</v>
      </c>
      <c r="F191" s="93" t="s">
        <v>107</v>
      </c>
      <c r="G191" s="95">
        <f t="shared" si="63"/>
        <v>47.121600820933821</v>
      </c>
      <c r="H191" s="115">
        <f t="shared" si="64"/>
        <v>47.033333333333289</v>
      </c>
      <c r="I191" s="115">
        <f t="shared" si="65"/>
        <v>96.141666666666509</v>
      </c>
      <c r="J191" s="115">
        <f t="shared" si="70"/>
        <v>0.80952380952380887</v>
      </c>
      <c r="K191" s="115">
        <f t="shared" si="71"/>
        <v>0.41596638655462226</v>
      </c>
      <c r="L191" s="96">
        <f t="shared" si="54"/>
        <v>-91453.338634359272</v>
      </c>
      <c r="M191" s="116">
        <f t="shared" si="66"/>
        <v>-215296.35026509303</v>
      </c>
      <c r="N191" s="96">
        <f t="shared" si="55"/>
        <v>737591.31866890797</v>
      </c>
      <c r="O191" s="96">
        <f t="shared" si="61"/>
        <v>430841.62976945564</v>
      </c>
      <c r="P191" s="116">
        <f t="shared" si="67"/>
        <v>343060345.99134594</v>
      </c>
      <c r="Q191" s="97">
        <f t="shared" si="56"/>
        <v>-0.116366190128913</v>
      </c>
      <c r="R191" s="97">
        <f t="shared" si="57"/>
        <v>0.12005901146483872</v>
      </c>
      <c r="S191" s="71">
        <f t="shared" si="58"/>
        <v>-0.12005901146483872</v>
      </c>
      <c r="T191" s="98">
        <f t="shared" si="47"/>
        <v>796.2562628289154</v>
      </c>
      <c r="U191" s="99">
        <f t="shared" si="48"/>
        <v>1.213805278702615</v>
      </c>
      <c r="V191" s="93" t="str">
        <f t="shared" si="59"/>
        <v>NO</v>
      </c>
      <c r="W191" s="95">
        <f t="shared" si="49"/>
        <v>-430.84162976945566</v>
      </c>
      <c r="X191" s="95">
        <f t="shared" si="50"/>
        <v>343.06034599134597</v>
      </c>
      <c r="Y191" s="95">
        <f t="shared" si="51"/>
        <v>-343.06034599134597</v>
      </c>
      <c r="Z191" s="95">
        <f t="shared" si="52"/>
        <v>646.13798003454872</v>
      </c>
      <c r="AA191" s="93" t="str">
        <f t="shared" si="60"/>
        <v/>
      </c>
      <c r="AB191" s="100"/>
      <c r="AC191" s="71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</row>
    <row r="192" spans="1:46" ht="18.75" x14ac:dyDescent="0.25">
      <c r="A192" s="39"/>
      <c r="B192" s="39"/>
      <c r="C192" s="113">
        <f t="shared" si="62"/>
        <v>-3.5000000000000001E-3</v>
      </c>
      <c r="D192" s="94">
        <f t="shared" si="68"/>
        <v>4.4549999999999985E-2</v>
      </c>
      <c r="E192" s="94">
        <f t="shared" si="69"/>
        <v>-2.7713414634146407E-4</v>
      </c>
      <c r="F192" s="93" t="s">
        <v>107</v>
      </c>
      <c r="G192" s="95">
        <f t="shared" si="63"/>
        <v>47.783558792924048</v>
      </c>
      <c r="H192" s="115">
        <f t="shared" si="64"/>
        <v>47.033333333333289</v>
      </c>
      <c r="I192" s="115">
        <f t="shared" si="65"/>
        <v>96.141666666666509</v>
      </c>
      <c r="J192" s="115">
        <f t="shared" si="70"/>
        <v>0.80952380952380887</v>
      </c>
      <c r="K192" s="115">
        <f t="shared" si="71"/>
        <v>0.41596638655462226</v>
      </c>
      <c r="L192" s="96">
        <f t="shared" si="54"/>
        <v>-109311.09114876075</v>
      </c>
      <c r="M192" s="116">
        <f t="shared" si="66"/>
        <v>-218320.80471730817</v>
      </c>
      <c r="N192" s="96">
        <f t="shared" si="55"/>
        <v>737591.31866890797</v>
      </c>
      <c r="O192" s="96">
        <f t="shared" si="61"/>
        <v>409959.42280283908</v>
      </c>
      <c r="P192" s="116">
        <f t="shared" si="67"/>
        <v>349856850.40829158</v>
      </c>
      <c r="Q192" s="97">
        <f t="shared" si="56"/>
        <v>-0.11072610639910048</v>
      </c>
      <c r="R192" s="97">
        <f t="shared" si="57"/>
        <v>0.12243754810205031</v>
      </c>
      <c r="S192" s="71">
        <f t="shared" si="58"/>
        <v>-0.12243754810205031</v>
      </c>
      <c r="T192" s="98">
        <f t="shared" si="47"/>
        <v>853.39385058249411</v>
      </c>
      <c r="U192" s="99">
        <f t="shared" si="48"/>
        <v>1.3009052600342899</v>
      </c>
      <c r="V192" s="93" t="str">
        <f t="shared" si="59"/>
        <v>NO</v>
      </c>
      <c r="W192" s="95">
        <f t="shared" si="49"/>
        <v>-409.95942280283907</v>
      </c>
      <c r="X192" s="95">
        <f t="shared" si="50"/>
        <v>349.85685040829156</v>
      </c>
      <c r="Y192" s="95">
        <f t="shared" si="51"/>
        <v>-349.85685040829156</v>
      </c>
      <c r="Z192" s="95">
        <f t="shared" si="52"/>
        <v>628.28022752014726</v>
      </c>
      <c r="AA192" s="93" t="str">
        <f t="shared" si="60"/>
        <v/>
      </c>
      <c r="AB192" s="100"/>
      <c r="AC192" s="71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</row>
    <row r="193" spans="1:46" ht="18.75" x14ac:dyDescent="0.25">
      <c r="A193" s="39"/>
      <c r="B193" s="39"/>
      <c r="C193" s="113">
        <f t="shared" si="62"/>
        <v>-3.5000000000000001E-3</v>
      </c>
      <c r="D193" s="94">
        <f t="shared" si="68"/>
        <v>4.3874999999999983E-2</v>
      </c>
      <c r="E193" s="94">
        <f t="shared" si="69"/>
        <v>-3.224085365853669E-4</v>
      </c>
      <c r="F193" s="93" t="s">
        <v>107</v>
      </c>
      <c r="G193" s="95">
        <f t="shared" si="63"/>
        <v>48.464379947229567</v>
      </c>
      <c r="H193" s="115">
        <f t="shared" si="64"/>
        <v>47.033333333333289</v>
      </c>
      <c r="I193" s="115">
        <f t="shared" si="65"/>
        <v>96.141666666666509</v>
      </c>
      <c r="J193" s="115">
        <f t="shared" si="70"/>
        <v>0.80952380952380887</v>
      </c>
      <c r="K193" s="115">
        <f t="shared" si="71"/>
        <v>0.41596638655462226</v>
      </c>
      <c r="L193" s="96">
        <f t="shared" si="54"/>
        <v>-127168.84366316236</v>
      </c>
      <c r="M193" s="116">
        <f t="shared" si="66"/>
        <v>-221431.44415127512</v>
      </c>
      <c r="N193" s="96">
        <f t="shared" si="55"/>
        <v>737591.31866890797</v>
      </c>
      <c r="O193" s="96">
        <f t="shared" si="61"/>
        <v>388991.0308544705</v>
      </c>
      <c r="P193" s="116">
        <f t="shared" si="67"/>
        <v>356678379.76290947</v>
      </c>
      <c r="Q193" s="97">
        <f t="shared" si="56"/>
        <v>-0.10506274493269094</v>
      </c>
      <c r="R193" s="97">
        <f t="shared" si="57"/>
        <v>0.12482484258409593</v>
      </c>
      <c r="S193" s="71">
        <f t="shared" si="58"/>
        <v>-0.12482484258409593</v>
      </c>
      <c r="T193" s="98">
        <f t="shared" si="47"/>
        <v>916.93214360088973</v>
      </c>
      <c r="U193" s="99">
        <f t="shared" si="48"/>
        <v>1.3977624140257465</v>
      </c>
      <c r="V193" s="93" t="str">
        <f t="shared" si="59"/>
        <v>NO</v>
      </c>
      <c r="W193" s="95">
        <f t="shared" si="49"/>
        <v>-388.99103085447052</v>
      </c>
      <c r="X193" s="95">
        <f t="shared" si="50"/>
        <v>356.67837976290946</v>
      </c>
      <c r="Y193" s="95">
        <f t="shared" si="51"/>
        <v>-356.67837976290946</v>
      </c>
      <c r="Z193" s="95">
        <f t="shared" si="52"/>
        <v>610.4224750057457</v>
      </c>
      <c r="AA193" s="93" t="str">
        <f t="shared" si="60"/>
        <v/>
      </c>
      <c r="AB193" s="100"/>
      <c r="AC193" s="71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</row>
    <row r="194" spans="1:46" ht="18.75" x14ac:dyDescent="0.25">
      <c r="A194" s="39"/>
      <c r="B194" s="39"/>
      <c r="C194" s="113">
        <f t="shared" si="62"/>
        <v>-3.5000000000000001E-3</v>
      </c>
      <c r="D194" s="94">
        <f t="shared" si="68"/>
        <v>4.3199999999999981E-2</v>
      </c>
      <c r="E194" s="94">
        <f t="shared" si="69"/>
        <v>-3.6768292682926929E-4</v>
      </c>
      <c r="F194" s="93" t="s">
        <v>107</v>
      </c>
      <c r="G194" s="95">
        <f t="shared" si="63"/>
        <v>49.164882226980744</v>
      </c>
      <c r="H194" s="115">
        <f t="shared" si="64"/>
        <v>47.033333333333289</v>
      </c>
      <c r="I194" s="115">
        <f t="shared" si="65"/>
        <v>96.141666666666509</v>
      </c>
      <c r="J194" s="115">
        <f t="shared" si="70"/>
        <v>0.80952380952380887</v>
      </c>
      <c r="K194" s="115">
        <f t="shared" si="71"/>
        <v>0.41596638655462226</v>
      </c>
      <c r="L194" s="96">
        <f t="shared" si="54"/>
        <v>-145026.5961775638</v>
      </c>
      <c r="M194" s="116">
        <f t="shared" si="66"/>
        <v>-224632.00571020684</v>
      </c>
      <c r="N194" s="96">
        <f t="shared" si="55"/>
        <v>737591.31866890797</v>
      </c>
      <c r="O194" s="96">
        <f t="shared" si="61"/>
        <v>367932.71678113734</v>
      </c>
      <c r="P194" s="116">
        <f t="shared" si="67"/>
        <v>363525942.75556755</v>
      </c>
      <c r="Q194" s="97">
        <f t="shared" si="56"/>
        <v>-9.9375096363161788E-2</v>
      </c>
      <c r="R194" s="97">
        <f t="shared" si="57"/>
        <v>0.12722124792049841</v>
      </c>
      <c r="S194" s="71">
        <f t="shared" si="58"/>
        <v>-0.12722124792049841</v>
      </c>
      <c r="T194" s="98">
        <f t="shared" si="47"/>
        <v>988.02288074808223</v>
      </c>
      <c r="U194" s="99">
        <f t="shared" si="48"/>
        <v>1.5061324401647596</v>
      </c>
      <c r="V194" s="93" t="str">
        <f t="shared" si="59"/>
        <v>NO</v>
      </c>
      <c r="W194" s="95">
        <f t="shared" si="49"/>
        <v>-367.93271678113734</v>
      </c>
      <c r="X194" s="95">
        <f t="shared" si="50"/>
        <v>363.52594275556754</v>
      </c>
      <c r="Y194" s="95">
        <f t="shared" si="51"/>
        <v>-363.52594275556754</v>
      </c>
      <c r="Z194" s="95">
        <f t="shared" si="52"/>
        <v>592.56472249134424</v>
      </c>
      <c r="AA194" s="93" t="str">
        <f t="shared" si="60"/>
        <v/>
      </c>
      <c r="AB194" s="100"/>
      <c r="AC194" s="71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</row>
    <row r="195" spans="1:46" ht="18.75" x14ac:dyDescent="0.25">
      <c r="A195" s="39"/>
      <c r="B195" s="39"/>
      <c r="C195" s="113">
        <f t="shared" si="62"/>
        <v>-3.5000000000000001E-3</v>
      </c>
      <c r="D195" s="94">
        <f t="shared" si="68"/>
        <v>4.2524999999999979E-2</v>
      </c>
      <c r="E195" s="94">
        <f t="shared" si="69"/>
        <v>-4.1295731707317158E-4</v>
      </c>
      <c r="F195" s="93" t="s">
        <v>107</v>
      </c>
      <c r="G195" s="95">
        <f t="shared" si="63"/>
        <v>49.885931558935376</v>
      </c>
      <c r="H195" s="115">
        <f t="shared" si="64"/>
        <v>47.033333333333289</v>
      </c>
      <c r="I195" s="115">
        <f t="shared" si="65"/>
        <v>96.141666666666509</v>
      </c>
      <c r="J195" s="115">
        <f t="shared" si="70"/>
        <v>0.80952380952380887</v>
      </c>
      <c r="K195" s="115">
        <f t="shared" si="71"/>
        <v>0.41596638655462226</v>
      </c>
      <c r="L195" s="96">
        <f t="shared" si="54"/>
        <v>-162884.34869196522</v>
      </c>
      <c r="M195" s="116">
        <f t="shared" si="66"/>
        <v>-227926.44577222507</v>
      </c>
      <c r="N195" s="96">
        <f t="shared" si="55"/>
        <v>737591.31866890797</v>
      </c>
      <c r="O195" s="96">
        <f t="shared" si="61"/>
        <v>346780.52420471772</v>
      </c>
      <c r="P195" s="116">
        <f t="shared" si="67"/>
        <v>370400602.71148467</v>
      </c>
      <c r="Q195" s="97">
        <f t="shared" si="56"/>
        <v>-9.366209211074511E-2</v>
      </c>
      <c r="R195" s="97">
        <f t="shared" si="57"/>
        <v>0.12962713623755021</v>
      </c>
      <c r="S195" s="71">
        <f t="shared" si="58"/>
        <v>-0.12962713623755021</v>
      </c>
      <c r="T195" s="98">
        <f t="shared" si="47"/>
        <v>1068.112471312902</v>
      </c>
      <c r="U195" s="99">
        <f t="shared" si="48"/>
        <v>1.6282202306599116</v>
      </c>
      <c r="V195" s="93" t="str">
        <f t="shared" si="59"/>
        <v>NO</v>
      </c>
      <c r="W195" s="95">
        <f t="shared" si="49"/>
        <v>-346.78052420471772</v>
      </c>
      <c r="X195" s="95">
        <f t="shared" si="50"/>
        <v>370.40060271148468</v>
      </c>
      <c r="Y195" s="95">
        <f t="shared" si="51"/>
        <v>-370.40060271148468</v>
      </c>
      <c r="Z195" s="95">
        <f t="shared" si="52"/>
        <v>574.70696997694279</v>
      </c>
      <c r="AA195" s="93" t="str">
        <f t="shared" si="60"/>
        <v/>
      </c>
      <c r="AB195" s="100"/>
      <c r="AC195" s="71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</row>
    <row r="196" spans="1:46" ht="18.75" x14ac:dyDescent="0.25">
      <c r="A196" s="39"/>
      <c r="B196" s="39"/>
      <c r="C196" s="113">
        <f t="shared" si="62"/>
        <v>-3.5000000000000001E-3</v>
      </c>
      <c r="D196" s="94">
        <f t="shared" si="68"/>
        <v>4.1849999999999977E-2</v>
      </c>
      <c r="E196" s="94">
        <f t="shared" si="69"/>
        <v>-4.5823170731707413E-4</v>
      </c>
      <c r="F196" s="93" t="s">
        <v>107</v>
      </c>
      <c r="G196" s="95">
        <f t="shared" si="63"/>
        <v>50.628445424476311</v>
      </c>
      <c r="H196" s="115">
        <f t="shared" si="64"/>
        <v>47.033333333333289</v>
      </c>
      <c r="I196" s="115">
        <f t="shared" si="65"/>
        <v>96.141666666666509</v>
      </c>
      <c r="J196" s="115">
        <f t="shared" si="70"/>
        <v>0.80952380952380887</v>
      </c>
      <c r="K196" s="115">
        <f t="shared" si="71"/>
        <v>0.41596638655462226</v>
      </c>
      <c r="L196" s="96">
        <f t="shared" si="54"/>
        <v>-180742.10120636676</v>
      </c>
      <c r="M196" s="116">
        <f t="shared" si="66"/>
        <v>-231318.95626607849</v>
      </c>
      <c r="N196" s="96">
        <f t="shared" si="55"/>
        <v>737591.31866890797</v>
      </c>
      <c r="O196" s="96">
        <f t="shared" si="61"/>
        <v>325530.26119646273</v>
      </c>
      <c r="P196" s="116">
        <f t="shared" si="67"/>
        <v>377303481.30237126</v>
      </c>
      <c r="Q196" s="97">
        <f t="shared" si="56"/>
        <v>-8.7922599975708823E-2</v>
      </c>
      <c r="R196" s="97">
        <f t="shared" si="57"/>
        <v>0.13204290008075623</v>
      </c>
      <c r="S196" s="71">
        <f t="shared" si="58"/>
        <v>-0.13204290008075623</v>
      </c>
      <c r="T196" s="98">
        <f t="shared" si="47"/>
        <v>1159.0427259070166</v>
      </c>
      <c r="U196" s="99">
        <f t="shared" si="48"/>
        <v>1.7668334236387448</v>
      </c>
      <c r="V196" s="93" t="str">
        <f t="shared" si="59"/>
        <v>NO</v>
      </c>
      <c r="W196" s="95">
        <f t="shared" si="49"/>
        <v>-325.53026119646273</v>
      </c>
      <c r="X196" s="95">
        <f t="shared" si="50"/>
        <v>377.30348130237127</v>
      </c>
      <c r="Y196" s="95">
        <f t="shared" si="51"/>
        <v>-377.30348130237127</v>
      </c>
      <c r="Z196" s="95">
        <f t="shared" si="52"/>
        <v>556.84921746254122</v>
      </c>
      <c r="AA196" s="93" t="str">
        <f t="shared" si="60"/>
        <v/>
      </c>
      <c r="AB196" s="100"/>
      <c r="AC196" s="71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</row>
    <row r="197" spans="1:46" ht="18.75" x14ac:dyDescent="0.25">
      <c r="A197" s="39"/>
      <c r="B197" s="39"/>
      <c r="C197" s="113">
        <f t="shared" si="62"/>
        <v>-3.5000000000000001E-3</v>
      </c>
      <c r="D197" s="94">
        <f t="shared" si="68"/>
        <v>4.1174999999999976E-2</v>
      </c>
      <c r="E197" s="94">
        <f t="shared" si="69"/>
        <v>-5.0350609756097723E-4</v>
      </c>
      <c r="F197" s="93" t="s">
        <v>107</v>
      </c>
      <c r="G197" s="95">
        <f t="shared" si="63"/>
        <v>51.393396754336905</v>
      </c>
      <c r="H197" s="115">
        <f t="shared" si="64"/>
        <v>47.033333333333289</v>
      </c>
      <c r="I197" s="115">
        <f t="shared" si="65"/>
        <v>96.141666666666509</v>
      </c>
      <c r="J197" s="115">
        <f t="shared" si="70"/>
        <v>0.80952380952380887</v>
      </c>
      <c r="K197" s="115">
        <f t="shared" si="71"/>
        <v>0.41596638655462226</v>
      </c>
      <c r="L197" s="96">
        <f t="shared" si="54"/>
        <v>-198599.85372076847</v>
      </c>
      <c r="M197" s="116">
        <f t="shared" si="66"/>
        <v>-234813.98246595773</v>
      </c>
      <c r="N197" s="96">
        <f t="shared" si="55"/>
        <v>737591.31866890797</v>
      </c>
      <c r="O197" s="96">
        <f t="shared" si="61"/>
        <v>304177.48248218175</v>
      </c>
      <c r="P197" s="116">
        <f t="shared" si="67"/>
        <v>384235762.5738337</v>
      </c>
      <c r="Q197" s="97">
        <f t="shared" si="56"/>
        <v>-8.2155419332147955E-2</v>
      </c>
      <c r="R197" s="97">
        <f t="shared" si="57"/>
        <v>0.13446895382428328</v>
      </c>
      <c r="S197" s="71">
        <f t="shared" si="58"/>
        <v>-0.13446895382428328</v>
      </c>
      <c r="T197" s="98">
        <f t="shared" si="47"/>
        <v>1263.1959454669418</v>
      </c>
      <c r="U197" s="99">
        <f t="shared" si="48"/>
        <v>1.9256035754069234</v>
      </c>
      <c r="V197" s="93" t="str">
        <f t="shared" si="59"/>
        <v>NO</v>
      </c>
      <c r="W197" s="95">
        <f t="shared" si="49"/>
        <v>-304.17748248218174</v>
      </c>
      <c r="X197" s="95">
        <f t="shared" si="50"/>
        <v>384.23576257383371</v>
      </c>
      <c r="Y197" s="95">
        <f t="shared" si="51"/>
        <v>-384.23576257383371</v>
      </c>
      <c r="Z197" s="95">
        <f t="shared" si="52"/>
        <v>538.99146494813954</v>
      </c>
      <c r="AA197" s="93" t="str">
        <f t="shared" si="60"/>
        <v/>
      </c>
      <c r="AB197" s="100"/>
      <c r="AC197" s="71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</row>
    <row r="198" spans="1:46" ht="18.75" x14ac:dyDescent="0.25">
      <c r="A198" s="39"/>
      <c r="B198" s="39"/>
      <c r="C198" s="113">
        <f t="shared" si="62"/>
        <v>-3.5000000000000001E-3</v>
      </c>
      <c r="D198" s="94">
        <f t="shared" si="68"/>
        <v>4.0499999999999974E-2</v>
      </c>
      <c r="E198" s="94">
        <f t="shared" si="69"/>
        <v>-5.4878048780487962E-4</v>
      </c>
      <c r="F198" s="93" t="s">
        <v>107</v>
      </c>
      <c r="G198" s="95">
        <f t="shared" si="63"/>
        <v>52.181818181818208</v>
      </c>
      <c r="H198" s="115">
        <f t="shared" si="64"/>
        <v>47.033333333333289</v>
      </c>
      <c r="I198" s="115">
        <f t="shared" si="65"/>
        <v>96.141666666666509</v>
      </c>
      <c r="J198" s="115">
        <f t="shared" si="70"/>
        <v>0.80952380952380887</v>
      </c>
      <c r="K198" s="115">
        <f t="shared" si="71"/>
        <v>0.41596638655462226</v>
      </c>
      <c r="L198" s="96">
        <f t="shared" si="54"/>
        <v>-216457.60623516992</v>
      </c>
      <c r="M198" s="116">
        <f t="shared" si="66"/>
        <v>-238416.24242424229</v>
      </c>
      <c r="N198" s="96">
        <f t="shared" si="55"/>
        <v>737591.31866890797</v>
      </c>
      <c r="O198" s="96">
        <f t="shared" si="61"/>
        <v>282717.47000949574</v>
      </c>
      <c r="P198" s="116">
        <f t="shared" si="67"/>
        <v>391198697.30793142</v>
      </c>
      <c r="Q198" s="97">
        <f t="shared" si="56"/>
        <v>-7.6359275879386221E-2</v>
      </c>
      <c r="R198" s="97">
        <f t="shared" si="57"/>
        <v>0.13690573519770105</v>
      </c>
      <c r="S198" s="71">
        <f t="shared" si="58"/>
        <v>-0.13690573519770105</v>
      </c>
      <c r="T198" s="98">
        <f t="shared" si="47"/>
        <v>1383.7089632090726</v>
      </c>
      <c r="U198" s="99">
        <f t="shared" si="48"/>
        <v>2.1093124439162692</v>
      </c>
      <c r="V198" s="93" t="str">
        <f t="shared" si="59"/>
        <v>NO</v>
      </c>
      <c r="W198" s="95">
        <f t="shared" si="49"/>
        <v>-282.71747000949574</v>
      </c>
      <c r="X198" s="95">
        <f t="shared" si="50"/>
        <v>391.19869730793141</v>
      </c>
      <c r="Y198" s="95">
        <f t="shared" si="51"/>
        <v>-391.19869730793141</v>
      </c>
      <c r="Z198" s="95">
        <f t="shared" si="52"/>
        <v>521.13371243373808</v>
      </c>
      <c r="AA198" s="93" t="str">
        <f t="shared" si="60"/>
        <v/>
      </c>
      <c r="AB198" s="100"/>
      <c r="AC198" s="71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</row>
    <row r="199" spans="1:46" ht="18.75" x14ac:dyDescent="0.25">
      <c r="A199" s="39"/>
      <c r="B199" s="39"/>
      <c r="C199" s="113">
        <f t="shared" si="62"/>
        <v>-3.5000000000000001E-3</v>
      </c>
      <c r="D199" s="94">
        <f t="shared" si="68"/>
        <v>3.9824999999999972E-2</v>
      </c>
      <c r="E199" s="94">
        <f t="shared" si="69"/>
        <v>-5.9405487804878255E-4</v>
      </c>
      <c r="F199" s="93" t="s">
        <v>107</v>
      </c>
      <c r="G199" s="95">
        <f t="shared" si="63"/>
        <v>52.99480669359496</v>
      </c>
      <c r="H199" s="115">
        <f t="shared" si="64"/>
        <v>47.033333333333289</v>
      </c>
      <c r="I199" s="115">
        <f t="shared" si="65"/>
        <v>96.141666666666509</v>
      </c>
      <c r="J199" s="115">
        <f t="shared" si="70"/>
        <v>0.80952380952380887</v>
      </c>
      <c r="K199" s="115">
        <f>1-(I199/H199)/(-C199*10^3)</f>
        <v>0.41596638655462226</v>
      </c>
      <c r="L199" s="96">
        <f t="shared" si="54"/>
        <v>-234315.35874957158</v>
      </c>
      <c r="M199" s="116">
        <f t="shared" si="66"/>
        <v>-242130.74822081163</v>
      </c>
      <c r="N199" s="96">
        <f t="shared" si="55"/>
        <v>737591.31866890797</v>
      </c>
      <c r="O199" s="96">
        <f t="shared" si="61"/>
        <v>261145.21169852477</v>
      </c>
      <c r="P199" s="116">
        <f t="shared" si="67"/>
        <v>398193607.75349832</v>
      </c>
      <c r="Q199" s="97">
        <f t="shared" si="56"/>
        <v>-7.0532815902740673E-2</v>
      </c>
      <c r="R199" s="97">
        <f t="shared" si="57"/>
        <v>0.13935370694142749</v>
      </c>
      <c r="S199" s="71">
        <f t="shared" si="58"/>
        <v>-0.13935370694142749</v>
      </c>
      <c r="T199" s="98">
        <f t="shared" si="47"/>
        <v>1524.7976601354922</v>
      </c>
      <c r="U199" s="99">
        <f t="shared" si="48"/>
        <v>2.324386677035811</v>
      </c>
      <c r="V199" s="93" t="str">
        <f t="shared" si="59"/>
        <v>NO</v>
      </c>
      <c r="W199" s="95">
        <f t="shared" si="49"/>
        <v>-261.14521169852475</v>
      </c>
      <c r="X199" s="95">
        <f t="shared" si="50"/>
        <v>398.19360775349833</v>
      </c>
      <c r="Y199" s="95">
        <f t="shared" si="51"/>
        <v>-398.19360775349833</v>
      </c>
      <c r="Z199" s="95">
        <f t="shared" si="52"/>
        <v>503.27595991933634</v>
      </c>
      <c r="AA199" s="93" t="str">
        <f t="shared" si="60"/>
        <v/>
      </c>
      <c r="AB199" s="100"/>
      <c r="AC199" s="71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</row>
    <row r="200" spans="1:46" ht="18.75" x14ac:dyDescent="0.25">
      <c r="A200" s="39"/>
      <c r="B200" s="39"/>
      <c r="C200" s="113">
        <f t="shared" si="62"/>
        <v>-3.5000000000000001E-3</v>
      </c>
      <c r="D200" s="94">
        <f t="shared" si="68"/>
        <v>3.914999999999997E-2</v>
      </c>
      <c r="E200" s="94">
        <f t="shared" si="69"/>
        <v>-6.3932926829268473E-4</v>
      </c>
      <c r="F200" s="93" t="s">
        <v>107</v>
      </c>
      <c r="G200" s="95">
        <f t="shared" si="63"/>
        <v>53.833528722157126</v>
      </c>
      <c r="H200" s="115">
        <f t="shared" si="64"/>
        <v>47.033333333333289</v>
      </c>
      <c r="I200" s="115">
        <f t="shared" si="65"/>
        <v>96.141666666666509</v>
      </c>
      <c r="J200" s="115">
        <f t="shared" si="70"/>
        <v>0.80952380952380887</v>
      </c>
      <c r="K200" s="115">
        <f t="shared" si="71"/>
        <v>0.41596638655462226</v>
      </c>
      <c r="L200" s="96">
        <f t="shared" si="54"/>
        <v>-252173.11126397297</v>
      </c>
      <c r="M200" s="116">
        <f t="shared" si="66"/>
        <v>-245962.82923016793</v>
      </c>
      <c r="N200" s="96">
        <f t="shared" si="55"/>
        <v>737591.31866890797</v>
      </c>
      <c r="O200" s="96">
        <f t="shared" si="61"/>
        <v>239455.37817476707</v>
      </c>
      <c r="P200" s="116">
        <f t="shared" si="67"/>
        <v>405221892.76046562</v>
      </c>
      <c r="Q200" s="97">
        <f t="shared" si="56"/>
        <v>-6.4674599989295548E-2</v>
      </c>
      <c r="R200" s="97">
        <f t="shared" si="57"/>
        <v>0.14181335860356081</v>
      </c>
      <c r="S200" s="71">
        <f t="shared" si="58"/>
        <v>-0.14181335860356081</v>
      </c>
      <c r="T200" s="98">
        <f t="shared" si="47"/>
        <v>1692.264737794753</v>
      </c>
      <c r="U200" s="99">
        <f t="shared" si="48"/>
        <v>2.5796718563944405</v>
      </c>
      <c r="V200" s="93" t="str">
        <f t="shared" si="59"/>
        <v>NO</v>
      </c>
      <c r="W200" s="95">
        <f t="shared" si="49"/>
        <v>-239.45537817476708</v>
      </c>
      <c r="X200" s="95">
        <f t="shared" si="50"/>
        <v>405.22189276046561</v>
      </c>
      <c r="Y200" s="95">
        <f t="shared" si="51"/>
        <v>-405.22189276046561</v>
      </c>
      <c r="Z200" s="95">
        <f t="shared" si="52"/>
        <v>485.41820740493506</v>
      </c>
      <c r="AA200" s="93" t="str">
        <f t="shared" si="60"/>
        <v/>
      </c>
      <c r="AB200" s="100"/>
      <c r="AC200" s="71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</row>
    <row r="201" spans="1:46" ht="18.75" x14ac:dyDescent="0.25">
      <c r="A201" s="39"/>
      <c r="B201" s="39"/>
      <c r="C201" s="113">
        <f t="shared" si="62"/>
        <v>-3.5000000000000001E-3</v>
      </c>
      <c r="D201" s="94">
        <f t="shared" si="68"/>
        <v>3.8474999999999968E-2</v>
      </c>
      <c r="E201" s="94">
        <f t="shared" si="69"/>
        <v>-6.8460365853658756E-4</v>
      </c>
      <c r="F201" s="93" t="s">
        <v>107</v>
      </c>
      <c r="G201" s="95">
        <f t="shared" si="63"/>
        <v>54.699225729600997</v>
      </c>
      <c r="H201" s="115">
        <f t="shared" si="64"/>
        <v>47.033333333333289</v>
      </c>
      <c r="I201" s="115">
        <f t="shared" si="65"/>
        <v>96.141666666666509</v>
      </c>
      <c r="J201" s="115">
        <f t="shared" si="70"/>
        <v>0.80952380952380887</v>
      </c>
      <c r="K201" s="115">
        <f t="shared" si="71"/>
        <v>0.41596638655462226</v>
      </c>
      <c r="L201" s="96">
        <f t="shared" si="54"/>
        <v>-270030.86377837451</v>
      </c>
      <c r="M201" s="116">
        <f t="shared" si="66"/>
        <v>-249918.15763351196</v>
      </c>
      <c r="N201" s="96">
        <f t="shared" si="55"/>
        <v>737591.31866890797</v>
      </c>
      <c r="O201" s="96">
        <f t="shared" si="61"/>
        <v>217642.29725702154</v>
      </c>
      <c r="P201" s="116">
        <f t="shared" si="67"/>
        <v>412285033.35849738</v>
      </c>
      <c r="Q201" s="97">
        <f t="shared" si="56"/>
        <v>-5.8783096137334921E-2</v>
      </c>
      <c r="R201" s="97">
        <f t="shared" si="57"/>
        <v>0.14428520849220475</v>
      </c>
      <c r="S201" s="71">
        <f t="shared" si="58"/>
        <v>-0.14428520849220475</v>
      </c>
      <c r="T201" s="98">
        <f t="shared" si="47"/>
        <v>1894.3240287140293</v>
      </c>
      <c r="U201" s="99">
        <f t="shared" si="48"/>
        <v>2.8876890681616301</v>
      </c>
      <c r="V201" s="93" t="str">
        <f t="shared" si="59"/>
        <v>NO</v>
      </c>
      <c r="W201" s="95">
        <f t="shared" si="49"/>
        <v>-217.64229725702154</v>
      </c>
      <c r="X201" s="95">
        <f t="shared" si="50"/>
        <v>412.2850333584974</v>
      </c>
      <c r="Y201" s="95">
        <f t="shared" si="51"/>
        <v>-412.2850333584974</v>
      </c>
      <c r="Z201" s="95">
        <f t="shared" si="52"/>
        <v>467.56045489053349</v>
      </c>
      <c r="AA201" s="93" t="str">
        <f t="shared" si="60"/>
        <v/>
      </c>
      <c r="AB201" s="100"/>
      <c r="AC201" s="71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</row>
    <row r="202" spans="1:46" ht="18.75" x14ac:dyDescent="0.25">
      <c r="A202" s="39"/>
      <c r="B202" s="39"/>
      <c r="C202" s="113">
        <f t="shared" si="62"/>
        <v>-3.5000000000000001E-3</v>
      </c>
      <c r="D202" s="94">
        <f t="shared" si="68"/>
        <v>3.7799999999999966E-2</v>
      </c>
      <c r="E202" s="94">
        <f t="shared" si="69"/>
        <v>-7.2987804878049006E-4</v>
      </c>
      <c r="F202" s="93" t="s">
        <v>107</v>
      </c>
      <c r="G202" s="95">
        <f t="shared" si="63"/>
        <v>55.593220338983095</v>
      </c>
      <c r="H202" s="115">
        <f t="shared" si="64"/>
        <v>47.033333333333289</v>
      </c>
      <c r="I202" s="115">
        <f t="shared" si="65"/>
        <v>96.141666666666509</v>
      </c>
      <c r="J202" s="115">
        <f t="shared" si="70"/>
        <v>0.80952380952380887</v>
      </c>
      <c r="K202" s="115">
        <f t="shared" si="71"/>
        <v>0.41596638655462226</v>
      </c>
      <c r="L202" s="96">
        <f t="shared" si="54"/>
        <v>-287888.61629277607</v>
      </c>
      <c r="M202" s="116">
        <f t="shared" si="66"/>
        <v>-254002.77643260689</v>
      </c>
      <c r="N202" s="96">
        <f t="shared" si="55"/>
        <v>737591.31866890797</v>
      </c>
      <c r="O202" s="96">
        <f t="shared" si="61"/>
        <v>195699.92594352504</v>
      </c>
      <c r="P202" s="116">
        <f t="shared" si="67"/>
        <v>419384598.82482708</v>
      </c>
      <c r="Q202" s="97">
        <f t="shared" si="56"/>
        <v>-5.2856672190067233E-2</v>
      </c>
      <c r="R202" s="97">
        <f t="shared" si="57"/>
        <v>0.1467698057989974</v>
      </c>
      <c r="S202" s="71">
        <f t="shared" si="58"/>
        <v>-0.1467698057989974</v>
      </c>
      <c r="T202" s="98">
        <f t="shared" si="47"/>
        <v>2142.9982500139158</v>
      </c>
      <c r="U202" s="99">
        <f t="shared" si="48"/>
        <v>3.2667656250212129</v>
      </c>
      <c r="V202" s="93" t="str">
        <f t="shared" si="59"/>
        <v>NO</v>
      </c>
      <c r="W202" s="95">
        <f t="shared" si="49"/>
        <v>-195.69992594352505</v>
      </c>
      <c r="X202" s="95">
        <f t="shared" si="50"/>
        <v>419.38459882482709</v>
      </c>
      <c r="Y202" s="95">
        <f t="shared" si="51"/>
        <v>-419.38459882482709</v>
      </c>
      <c r="Z202" s="95">
        <f t="shared" si="52"/>
        <v>449.70270237613192</v>
      </c>
      <c r="AA202" s="93" t="str">
        <f t="shared" si="60"/>
        <v/>
      </c>
      <c r="AB202" s="100"/>
      <c r="AC202" s="71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</row>
    <row r="203" spans="1:46" ht="18.75" x14ac:dyDescent="0.25">
      <c r="A203" s="39"/>
      <c r="B203" s="39"/>
      <c r="C203" s="113">
        <f t="shared" si="62"/>
        <v>-3.5000000000000001E-3</v>
      </c>
      <c r="D203" s="94">
        <f t="shared" si="68"/>
        <v>3.7124999999999964E-2</v>
      </c>
      <c r="E203" s="94">
        <f t="shared" si="69"/>
        <v>-7.7515243902439234E-4</v>
      </c>
      <c r="F203" s="93" t="s">
        <v>107</v>
      </c>
      <c r="G203" s="95">
        <f t="shared" si="63"/>
        <v>56.516923076923121</v>
      </c>
      <c r="H203" s="115">
        <f t="shared" si="64"/>
        <v>47.033333333333289</v>
      </c>
      <c r="I203" s="115">
        <f t="shared" si="65"/>
        <v>96.141666666666509</v>
      </c>
      <c r="J203" s="115">
        <f t="shared" si="70"/>
        <v>0.80952380952380887</v>
      </c>
      <c r="K203" s="115">
        <f t="shared" si="71"/>
        <v>0.41596638655462226</v>
      </c>
      <c r="L203" s="96">
        <f t="shared" si="54"/>
        <v>-305746.36880717747</v>
      </c>
      <c r="M203" s="116">
        <f t="shared" si="66"/>
        <v>-258223.13025641019</v>
      </c>
      <c r="N203" s="96">
        <f t="shared" si="55"/>
        <v>737591.31866890797</v>
      </c>
      <c r="O203" s="96">
        <f t="shared" si="61"/>
        <v>173621.81960532034</v>
      </c>
      <c r="P203" s="116">
        <f t="shared" si="67"/>
        <v>426522253.29135758</v>
      </c>
      <c r="Q203" s="97">
        <f t="shared" si="56"/>
        <v>-4.6893587515049545E-2</v>
      </c>
      <c r="R203" s="97">
        <f t="shared" si="57"/>
        <v>0.1492677329113628</v>
      </c>
      <c r="S203" s="71">
        <f t="shared" si="58"/>
        <v>-0.1492677329113628</v>
      </c>
      <c r="T203" s="98">
        <f t="shared" si="47"/>
        <v>2456.6166525666772</v>
      </c>
      <c r="U203" s="99">
        <f t="shared" si="48"/>
        <v>3.7448424581809103</v>
      </c>
      <c r="V203" s="93" t="str">
        <f t="shared" si="59"/>
        <v>NO</v>
      </c>
      <c r="W203" s="95">
        <f t="shared" si="49"/>
        <v>-173.62181960532035</v>
      </c>
      <c r="X203" s="95">
        <f t="shared" si="50"/>
        <v>426.52225329135757</v>
      </c>
      <c r="Y203" s="95">
        <f t="shared" si="51"/>
        <v>-426.52225329135757</v>
      </c>
      <c r="Z203" s="95">
        <f t="shared" si="52"/>
        <v>431.84494986173053</v>
      </c>
      <c r="AA203" s="93" t="str">
        <f t="shared" si="60"/>
        <v/>
      </c>
      <c r="AB203" s="100"/>
      <c r="AC203" s="71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</row>
    <row r="204" spans="1:46" ht="18.75" x14ac:dyDescent="0.25">
      <c r="A204" s="39"/>
      <c r="B204" s="39"/>
      <c r="C204" s="113">
        <f t="shared" si="62"/>
        <v>-3.5000000000000001E-3</v>
      </c>
      <c r="D204" s="94">
        <f t="shared" si="68"/>
        <v>3.6449999999999962E-2</v>
      </c>
      <c r="E204" s="94">
        <f t="shared" si="69"/>
        <v>-8.2042682926829495E-4</v>
      </c>
      <c r="F204" s="93" t="s">
        <v>107</v>
      </c>
      <c r="G204" s="95">
        <f t="shared" si="63"/>
        <v>57.471839799749738</v>
      </c>
      <c r="H204" s="115">
        <f t="shared" si="64"/>
        <v>47.033333333333289</v>
      </c>
      <c r="I204" s="115">
        <f t="shared" si="65"/>
        <v>96.141666666666509</v>
      </c>
      <c r="J204" s="115">
        <f t="shared" si="70"/>
        <v>0.80952380952380887</v>
      </c>
      <c r="K204" s="115">
        <f t="shared" si="71"/>
        <v>0.41596638655462226</v>
      </c>
      <c r="L204" s="96">
        <f t="shared" si="54"/>
        <v>-323604.12132157898</v>
      </c>
      <c r="M204" s="116">
        <f t="shared" si="66"/>
        <v>-262586.09929078008</v>
      </c>
      <c r="N204" s="96">
        <f t="shared" si="55"/>
        <v>737591.31866890797</v>
      </c>
      <c r="O204" s="96">
        <f t="shared" si="61"/>
        <v>151401.09805654897</v>
      </c>
      <c r="P204" s="116">
        <f t="shared" si="67"/>
        <v>433699762.94690478</v>
      </c>
      <c r="Q204" s="97">
        <f t="shared" si="56"/>
        <v>-4.0891983840099191E-2</v>
      </c>
      <c r="R204" s="97">
        <f t="shared" si="57"/>
        <v>0.15177960793304213</v>
      </c>
      <c r="S204" s="71">
        <f t="shared" si="58"/>
        <v>-0.15177960793304213</v>
      </c>
      <c r="T204" s="98">
        <f t="shared" si="47"/>
        <v>2864.5747521917974</v>
      </c>
      <c r="U204" s="99">
        <f t="shared" si="48"/>
        <v>4.3667298051704231</v>
      </c>
      <c r="V204" s="93" t="str">
        <f t="shared" si="59"/>
        <v>NO</v>
      </c>
      <c r="W204" s="95">
        <f t="shared" si="49"/>
        <v>-151.40109805654896</v>
      </c>
      <c r="X204" s="95">
        <f t="shared" si="50"/>
        <v>433.6997629469048</v>
      </c>
      <c r="Y204" s="95">
        <f t="shared" si="51"/>
        <v>-433.6997629469048</v>
      </c>
      <c r="Z204" s="95">
        <f t="shared" si="52"/>
        <v>413.98719734732902</v>
      </c>
      <c r="AA204" s="93" t="str">
        <f t="shared" si="60"/>
        <v/>
      </c>
      <c r="AB204" s="100"/>
      <c r="AC204" s="71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</row>
    <row r="205" spans="1:46" ht="18.75" x14ac:dyDescent="0.25">
      <c r="A205" s="39"/>
      <c r="B205" s="39"/>
      <c r="C205" s="113">
        <f t="shared" si="62"/>
        <v>-3.5000000000000001E-3</v>
      </c>
      <c r="D205" s="94">
        <f t="shared" si="68"/>
        <v>3.577499999999996E-2</v>
      </c>
      <c r="E205" s="94">
        <f t="shared" si="69"/>
        <v>-8.6570121951219767E-4</v>
      </c>
      <c r="F205" s="93" t="s">
        <v>107</v>
      </c>
      <c r="G205" s="95">
        <f t="shared" si="63"/>
        <v>58.459579885423352</v>
      </c>
      <c r="H205" s="115">
        <f t="shared" si="64"/>
        <v>47.033333333333289</v>
      </c>
      <c r="I205" s="115">
        <f t="shared" si="65"/>
        <v>96.141666666666509</v>
      </c>
      <c r="J205" s="115">
        <f t="shared" si="70"/>
        <v>0.80952380952380887</v>
      </c>
      <c r="K205" s="115">
        <f t="shared" si="71"/>
        <v>0.41596638655462226</v>
      </c>
      <c r="L205" s="96">
        <f t="shared" si="54"/>
        <v>-341461.8738359806</v>
      </c>
      <c r="M205" s="116">
        <f t="shared" si="66"/>
        <v>-267099.03670698067</v>
      </c>
      <c r="N205" s="96">
        <f t="shared" si="55"/>
        <v>737591.31866890797</v>
      </c>
      <c r="O205" s="96">
        <f t="shared" si="61"/>
        <v>129030.40812594676</v>
      </c>
      <c r="P205" s="116">
        <f t="shared" si="67"/>
        <v>440919003.89704907</v>
      </c>
      <c r="Q205" s="97">
        <f t="shared" si="56"/>
        <v>-3.4849875144213907E-2</v>
      </c>
      <c r="R205" s="97">
        <f t="shared" si="57"/>
        <v>0.15430608743476418</v>
      </c>
      <c r="S205" s="71">
        <f t="shared" si="58"/>
        <v>-0.15430608743476418</v>
      </c>
      <c r="T205" s="98">
        <f t="shared" si="47"/>
        <v>3417.1712722683742</v>
      </c>
      <c r="U205" s="99">
        <f t="shared" si="48"/>
        <v>5.2091025491895948</v>
      </c>
      <c r="V205" s="93" t="str">
        <f t="shared" si="59"/>
        <v>NO</v>
      </c>
      <c r="W205" s="95">
        <f t="shared" si="49"/>
        <v>-129.03040812594676</v>
      </c>
      <c r="X205" s="95">
        <f t="shared" si="50"/>
        <v>440.91900389704909</v>
      </c>
      <c r="Y205" s="95">
        <f t="shared" si="51"/>
        <v>-440.91900389704909</v>
      </c>
      <c r="Z205" s="95">
        <f t="shared" si="52"/>
        <v>396.12944483292739</v>
      </c>
      <c r="AA205" s="93" t="str">
        <f t="shared" si="60"/>
        <v/>
      </c>
      <c r="AB205" s="100"/>
      <c r="AC205" s="71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</row>
    <row r="206" spans="1:46" ht="18.75" x14ac:dyDescent="0.25">
      <c r="A206" s="39"/>
      <c r="B206" s="39"/>
      <c r="C206" s="113">
        <f t="shared" si="62"/>
        <v>-3.5000000000000001E-3</v>
      </c>
      <c r="D206" s="94">
        <f t="shared" si="68"/>
        <v>3.5099999999999958E-2</v>
      </c>
      <c r="E206" s="94">
        <f t="shared" si="69"/>
        <v>-9.109756097561006E-4</v>
      </c>
      <c r="F206" s="93" t="s">
        <v>107</v>
      </c>
      <c r="G206" s="95">
        <f t="shared" si="63"/>
        <v>59.481865284974162</v>
      </c>
      <c r="H206" s="115">
        <f t="shared" si="64"/>
        <v>47.033333333333289</v>
      </c>
      <c r="I206" s="115">
        <f t="shared" si="65"/>
        <v>96.141666666666509</v>
      </c>
      <c r="J206" s="115">
        <f t="shared" si="70"/>
        <v>0.80952380952380887</v>
      </c>
      <c r="K206" s="115">
        <f t="shared" si="71"/>
        <v>0.41596638655462226</v>
      </c>
      <c r="L206" s="96">
        <f t="shared" si="54"/>
        <v>-359319.62635038223</v>
      </c>
      <c r="M206" s="116">
        <f t="shared" si="66"/>
        <v>-271769.8100172712</v>
      </c>
      <c r="N206" s="96">
        <f t="shared" si="55"/>
        <v>737591.31866890797</v>
      </c>
      <c r="O206" s="96">
        <f t="shared" si="61"/>
        <v>106501.88230125455</v>
      </c>
      <c r="P206" s="116">
        <f t="shared" si="67"/>
        <v>448181970.75149369</v>
      </c>
      <c r="Q206" s="97">
        <f t="shared" si="56"/>
        <v>-2.8765136487823938E-2</v>
      </c>
      <c r="R206" s="97">
        <f t="shared" si="57"/>
        <v>0.15684786945951765</v>
      </c>
      <c r="S206" s="71">
        <f t="shared" si="58"/>
        <v>-0.15684786945951765</v>
      </c>
      <c r="T206" s="98">
        <f t="shared" si="47"/>
        <v>4208.2070388554466</v>
      </c>
      <c r="U206" s="99">
        <f t="shared" si="48"/>
        <v>6.4149497543528149</v>
      </c>
      <c r="V206" s="93" t="str">
        <f t="shared" si="59"/>
        <v>NO</v>
      </c>
      <c r="W206" s="95">
        <f t="shared" si="49"/>
        <v>-106.50188230125455</v>
      </c>
      <c r="X206" s="95">
        <f t="shared" si="50"/>
        <v>448.18197075149368</v>
      </c>
      <c r="Y206" s="95">
        <f t="shared" si="51"/>
        <v>-448.18197075149368</v>
      </c>
      <c r="Z206" s="95">
        <f t="shared" si="52"/>
        <v>378.27169231852577</v>
      </c>
      <c r="AA206" s="93" t="str">
        <f t="shared" si="60"/>
        <v/>
      </c>
      <c r="AB206" s="100"/>
      <c r="AC206" s="71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</row>
    <row r="207" spans="1:46" ht="18.75" x14ac:dyDescent="0.25">
      <c r="A207" s="39"/>
      <c r="B207" s="39"/>
      <c r="C207" s="113">
        <f t="shared" si="62"/>
        <v>-3.5000000000000001E-3</v>
      </c>
      <c r="D207" s="94">
        <f t="shared" si="68"/>
        <v>3.4424999999999956E-2</v>
      </c>
      <c r="E207" s="94">
        <f t="shared" si="69"/>
        <v>-9.5625000000000267E-4</v>
      </c>
      <c r="F207" s="93" t="s">
        <v>107</v>
      </c>
      <c r="G207" s="95">
        <f t="shared" si="63"/>
        <v>60.540540540540604</v>
      </c>
      <c r="H207" s="115">
        <f t="shared" si="64"/>
        <v>47.033333333333289</v>
      </c>
      <c r="I207" s="115">
        <f t="shared" si="65"/>
        <v>96.141666666666509</v>
      </c>
      <c r="J207" s="115">
        <f t="shared" si="70"/>
        <v>0.80952380952380887</v>
      </c>
      <c r="K207" s="115">
        <f t="shared" si="71"/>
        <v>0.41596638655462226</v>
      </c>
      <c r="L207" s="96">
        <f t="shared" si="54"/>
        <v>-377177.37886478356</v>
      </c>
      <c r="M207" s="116">
        <f t="shared" si="66"/>
        <v>-276606.84684684686</v>
      </c>
      <c r="N207" s="96">
        <f t="shared" si="55"/>
        <v>737591.31866890797</v>
      </c>
      <c r="O207" s="96">
        <f t="shared" si="61"/>
        <v>83807.092957277549</v>
      </c>
      <c r="P207" s="116">
        <f t="shared" si="67"/>
        <v>455490786.01725</v>
      </c>
      <c r="Q207" s="97">
        <f t="shared" si="56"/>
        <v>-2.263549165023011E-2</v>
      </c>
      <c r="R207" s="97">
        <f t="shared" si="57"/>
        <v>0.15940569680983449</v>
      </c>
      <c r="S207" s="71">
        <f t="shared" si="58"/>
        <v>-0.15940569680983449</v>
      </c>
      <c r="T207" s="98">
        <f t="shared" si="47"/>
        <v>5434.9908813738011</v>
      </c>
      <c r="U207" s="99">
        <f t="shared" si="48"/>
        <v>8.2850470752649414</v>
      </c>
      <c r="V207" s="93" t="str">
        <f t="shared" si="59"/>
        <v>NO</v>
      </c>
      <c r="W207" s="95">
        <f t="shared" si="49"/>
        <v>-83.807092957277547</v>
      </c>
      <c r="X207" s="95">
        <f t="shared" si="50"/>
        <v>455.49078601725</v>
      </c>
      <c r="Y207" s="95">
        <f t="shared" si="51"/>
        <v>-455.49078601725</v>
      </c>
      <c r="Z207" s="95">
        <f t="shared" si="52"/>
        <v>360.41393980412442</v>
      </c>
      <c r="AA207" s="93" t="str">
        <f t="shared" si="60"/>
        <v/>
      </c>
      <c r="AB207" s="100"/>
      <c r="AC207" s="71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</row>
    <row r="208" spans="1:46" ht="18.75" x14ac:dyDescent="0.25">
      <c r="A208" s="39"/>
      <c r="B208" s="39"/>
      <c r="C208" s="113">
        <f t="shared" si="62"/>
        <v>-3.5000000000000001E-3</v>
      </c>
      <c r="D208" s="94">
        <f t="shared" si="68"/>
        <v>3.3749999999999954E-2</v>
      </c>
      <c r="E208" s="94">
        <f t="shared" si="69"/>
        <v>-1.0015243902439055E-3</v>
      </c>
      <c r="F208" s="93" t="s">
        <v>107</v>
      </c>
      <c r="G208" s="95">
        <f t="shared" si="63"/>
        <v>61.637583892617528</v>
      </c>
      <c r="H208" s="115">
        <f t="shared" si="64"/>
        <v>47.033333333333289</v>
      </c>
      <c r="I208" s="115">
        <f t="shared" si="65"/>
        <v>96.141666666666509</v>
      </c>
      <c r="J208" s="115">
        <f t="shared" si="70"/>
        <v>0.80952380952380887</v>
      </c>
      <c r="K208" s="115">
        <f t="shared" si="71"/>
        <v>0.41596638655462226</v>
      </c>
      <c r="L208" s="96">
        <f t="shared" si="54"/>
        <v>-395035.13137918513</v>
      </c>
      <c r="M208" s="116">
        <f t="shared" si="66"/>
        <v>-281619.18568232667</v>
      </c>
      <c r="N208" s="96">
        <f t="shared" si="55"/>
        <v>737591.31866890797</v>
      </c>
      <c r="O208" s="96">
        <f t="shared" si="61"/>
        <v>60937.001607396174</v>
      </c>
      <c r="P208" s="116">
        <f t="shared" si="67"/>
        <v>462847710.3854996</v>
      </c>
      <c r="Q208" s="97">
        <f t="shared" si="56"/>
        <v>-1.6458499422923812E-2</v>
      </c>
      <c r="R208" s="97">
        <f t="shared" si="57"/>
        <v>0.1619803606478285</v>
      </c>
      <c r="S208" s="71">
        <f t="shared" si="58"/>
        <v>-0.1619803606478285</v>
      </c>
      <c r="T208" s="98">
        <f t="shared" si="47"/>
        <v>7595.5117281208968</v>
      </c>
      <c r="U208" s="99">
        <f t="shared" si="48"/>
        <v>11.578523975794051</v>
      </c>
      <c r="V208" s="93" t="str">
        <f t="shared" si="59"/>
        <v>NO</v>
      </c>
      <c r="W208" s="95">
        <f t="shared" si="49"/>
        <v>-60.937001607396176</v>
      </c>
      <c r="X208" s="95">
        <f t="shared" si="50"/>
        <v>462.84771038549962</v>
      </c>
      <c r="Y208" s="95">
        <f t="shared" si="51"/>
        <v>-462.84771038549962</v>
      </c>
      <c r="Z208" s="95">
        <f t="shared" si="52"/>
        <v>342.55618728972286</v>
      </c>
      <c r="AA208" s="93" t="str">
        <f t="shared" si="60"/>
        <v/>
      </c>
      <c r="AB208" s="100"/>
      <c r="AC208" s="71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</row>
    <row r="209" spans="1:46" ht="18.75" x14ac:dyDescent="0.25">
      <c r="A209" s="39"/>
      <c r="B209" s="39"/>
      <c r="C209" s="113">
        <f t="shared" si="62"/>
        <v>-3.5000000000000001E-3</v>
      </c>
      <c r="D209" s="94">
        <f t="shared" si="68"/>
        <v>3.3074999999999952E-2</v>
      </c>
      <c r="E209" s="94">
        <f t="shared" si="69"/>
        <v>-1.0467987804878079E-3</v>
      </c>
      <c r="F209" s="93" t="s">
        <v>107</v>
      </c>
      <c r="G209" s="95">
        <f t="shared" si="63"/>
        <v>62.775119617224959</v>
      </c>
      <c r="H209" s="115">
        <f t="shared" si="64"/>
        <v>47.033333333333289</v>
      </c>
      <c r="I209" s="115">
        <f t="shared" si="65"/>
        <v>96.141666666666509</v>
      </c>
      <c r="J209" s="115">
        <f t="shared" si="70"/>
        <v>0.80952380952380887</v>
      </c>
      <c r="K209" s="115">
        <f t="shared" si="71"/>
        <v>0.41596638655462226</v>
      </c>
      <c r="L209" s="96">
        <f t="shared" si="54"/>
        <v>-412892.88389358664</v>
      </c>
      <c r="M209" s="116">
        <f t="shared" si="66"/>
        <v>-286816.53223969019</v>
      </c>
      <c r="N209" s="96">
        <f t="shared" si="55"/>
        <v>737591.31866890797</v>
      </c>
      <c r="O209" s="96">
        <f t="shared" si="61"/>
        <v>37881.902535631089</v>
      </c>
      <c r="P209" s="116">
        <f t="shared" si="67"/>
        <v>470255154.01079786</v>
      </c>
      <c r="Q209" s="97">
        <f t="shared" si="56"/>
        <v>-1.0231538385148673E-2</v>
      </c>
      <c r="R209" s="97">
        <f t="shared" si="57"/>
        <v>0.1645727044425184</v>
      </c>
      <c r="S209" s="71">
        <f t="shared" si="58"/>
        <v>-0.1645727044425184</v>
      </c>
      <c r="T209" s="98">
        <f t="shared" si="47"/>
        <v>12413.715324051733</v>
      </c>
      <c r="U209" s="99">
        <f t="shared" si="48"/>
        <v>18.923346530566665</v>
      </c>
      <c r="V209" s="93" t="str">
        <f t="shared" si="59"/>
        <v>NO</v>
      </c>
      <c r="W209" s="95">
        <f t="shared" si="49"/>
        <v>-37.881902535631092</v>
      </c>
      <c r="X209" s="95">
        <f t="shared" si="50"/>
        <v>470.25515401079787</v>
      </c>
      <c r="Y209" s="95">
        <f t="shared" si="51"/>
        <v>-470.25515401079787</v>
      </c>
      <c r="Z209" s="95">
        <f t="shared" si="52"/>
        <v>324.69843477532135</v>
      </c>
      <c r="AA209" s="93" t="str">
        <f t="shared" si="60"/>
        <v/>
      </c>
      <c r="AB209" s="100"/>
      <c r="AC209" s="71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</row>
    <row r="210" spans="1:46" ht="18.75" x14ac:dyDescent="0.25">
      <c r="A210" s="39"/>
      <c r="B210" s="39"/>
      <c r="C210" s="113">
        <f t="shared" si="62"/>
        <v>-3.5000000000000001E-3</v>
      </c>
      <c r="D210" s="94">
        <f t="shared" si="68"/>
        <v>3.239999999999995E-2</v>
      </c>
      <c r="E210" s="94">
        <f t="shared" si="69"/>
        <v>-1.0920731707317105E-3</v>
      </c>
      <c r="F210" s="93" t="s">
        <v>107</v>
      </c>
      <c r="G210" s="95">
        <f t="shared" si="63"/>
        <v>63.955431754874731</v>
      </c>
      <c r="H210" s="115">
        <f t="shared" si="64"/>
        <v>47.033333333333289</v>
      </c>
      <c r="I210" s="115">
        <f t="shared" si="65"/>
        <v>96.141666666666509</v>
      </c>
      <c r="J210" s="115">
        <f t="shared" si="70"/>
        <v>0.80952380952380887</v>
      </c>
      <c r="K210" s="115">
        <f t="shared" si="71"/>
        <v>0.41596638655462226</v>
      </c>
      <c r="L210" s="96">
        <f t="shared" si="54"/>
        <v>-430750.63640798815</v>
      </c>
      <c r="M210" s="116">
        <f t="shared" si="66"/>
        <v>-292209.32219127211</v>
      </c>
      <c r="N210" s="96">
        <f t="shared" si="55"/>
        <v>737591.31866890797</v>
      </c>
      <c r="O210" s="96">
        <f t="shared" si="61"/>
        <v>14631.360069647664</v>
      </c>
      <c r="P210" s="116">
        <f t="shared" si="67"/>
        <v>477715688.89355087</v>
      </c>
      <c r="Q210" s="97">
        <f t="shared" si="56"/>
        <v>-3.9517899619409312E-3</v>
      </c>
      <c r="R210" s="97">
        <f t="shared" si="57"/>
        <v>0.16718362830325764</v>
      </c>
      <c r="S210" s="71">
        <f t="shared" si="58"/>
        <v>-0.16718362830325764</v>
      </c>
      <c r="T210" s="98">
        <f t="shared" si="47"/>
        <v>32650.12183553314</v>
      </c>
      <c r="U210" s="99">
        <f t="shared" si="48"/>
        <v>49.771527188312717</v>
      </c>
      <c r="V210" s="93" t="str">
        <f t="shared" si="59"/>
        <v>NO</v>
      </c>
      <c r="W210" s="95">
        <f t="shared" si="49"/>
        <v>-14.631360069647664</v>
      </c>
      <c r="X210" s="95">
        <f t="shared" si="50"/>
        <v>477.71568889355086</v>
      </c>
      <c r="Y210" s="95">
        <f t="shared" si="51"/>
        <v>-477.71568889355086</v>
      </c>
      <c r="Z210" s="95">
        <f t="shared" si="52"/>
        <v>306.84068226091983</v>
      </c>
      <c r="AA210" s="93" t="str">
        <f t="shared" si="60"/>
        <v/>
      </c>
      <c r="AB210" s="100"/>
      <c r="AC210" s="71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</row>
    <row r="211" spans="1:46" ht="18.75" x14ac:dyDescent="0.25">
      <c r="A211" s="39"/>
      <c r="B211" s="39"/>
      <c r="C211" s="113">
        <f t="shared" si="62"/>
        <v>-3.5000000000000001E-3</v>
      </c>
      <c r="D211" s="94">
        <f t="shared" si="68"/>
        <v>3.1724999999999948E-2</v>
      </c>
      <c r="E211" s="94">
        <f t="shared" si="69"/>
        <v>-1.1373475609756133E-3</v>
      </c>
      <c r="F211" s="93" t="s">
        <v>107</v>
      </c>
      <c r="G211" s="95">
        <f t="shared" si="63"/>
        <v>65.180979418027064</v>
      </c>
      <c r="H211" s="115">
        <f t="shared" si="64"/>
        <v>47.033333333333289</v>
      </c>
      <c r="I211" s="115">
        <f t="shared" si="65"/>
        <v>96.141666666666509</v>
      </c>
      <c r="J211" s="115">
        <f t="shared" si="70"/>
        <v>0.80952380952380887</v>
      </c>
      <c r="K211" s="115">
        <f>1-(I211/H211)/(-C211*10^3)</f>
        <v>0.41596638655462226</v>
      </c>
      <c r="L211" s="96">
        <f t="shared" si="54"/>
        <v>-448608.38892238977</v>
      </c>
      <c r="M211" s="116">
        <f t="shared" si="66"/>
        <v>-297808.79110480257</v>
      </c>
      <c r="N211" s="96">
        <f t="shared" si="55"/>
        <v>737591.31866890797</v>
      </c>
      <c r="O211" s="96">
        <f t="shared" si="61"/>
        <v>-8825.8613582843682</v>
      </c>
      <c r="P211" s="116">
        <f t="shared" si="67"/>
        <v>485232062.49062884</v>
      </c>
      <c r="Q211" s="97">
        <f t="shared" si="56"/>
        <v>2.3837804657342704E-3</v>
      </c>
      <c r="R211" s="97">
        <f t="shared" si="57"/>
        <v>0.16981409374296882</v>
      </c>
      <c r="S211" s="71">
        <f t="shared" si="58"/>
        <v>-0.16981409374296882</v>
      </c>
      <c r="T211" s="98">
        <f t="shared" si="47"/>
        <v>-54978.436981130144</v>
      </c>
      <c r="U211" s="99">
        <f t="shared" si="48"/>
        <v>-83.808592959039856</v>
      </c>
      <c r="V211" s="93" t="str">
        <f t="shared" si="59"/>
        <v>NO</v>
      </c>
      <c r="W211" s="95">
        <f t="shared" si="49"/>
        <v>8.825861358284369</v>
      </c>
      <c r="X211" s="95">
        <f t="shared" si="50"/>
        <v>485.23206249062883</v>
      </c>
      <c r="Y211" s="95">
        <f t="shared" si="51"/>
        <v>-485.23206249062883</v>
      </c>
      <c r="Z211" s="95">
        <f t="shared" si="52"/>
        <v>288.98292974651821</v>
      </c>
      <c r="AA211" s="93" t="str">
        <f t="shared" si="60"/>
        <v/>
      </c>
      <c r="AB211" s="100"/>
      <c r="AC211" s="71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</row>
    <row r="212" spans="1:46" ht="18.75" x14ac:dyDescent="0.25">
      <c r="A212" s="39"/>
      <c r="B212" s="39"/>
      <c r="C212" s="113">
        <f t="shared" si="62"/>
        <v>-3.5000000000000001E-3</v>
      </c>
      <c r="D212" s="94">
        <f t="shared" si="68"/>
        <v>3.1049999999999949E-2</v>
      </c>
      <c r="E212" s="94">
        <f t="shared" si="69"/>
        <v>-1.1826219512195157E-3</v>
      </c>
      <c r="F212" s="93" t="s">
        <v>107</v>
      </c>
      <c r="G212" s="95">
        <f t="shared" si="63"/>
        <v>66.454413892908931</v>
      </c>
      <c r="H212" s="115">
        <f t="shared" si="64"/>
        <v>47.033333333333289</v>
      </c>
      <c r="I212" s="115">
        <f t="shared" si="65"/>
        <v>96.141666666666509</v>
      </c>
      <c r="J212" s="115">
        <f t="shared" si="70"/>
        <v>0.80952380952380887</v>
      </c>
      <c r="K212" s="115">
        <f t="shared" si="71"/>
        <v>0.41596638655462226</v>
      </c>
      <c r="L212" s="96">
        <f t="shared" si="54"/>
        <v>-466466.14143679122</v>
      </c>
      <c r="M212" s="116">
        <f t="shared" si="66"/>
        <v>-303627.05258080096</v>
      </c>
      <c r="N212" s="96">
        <f t="shared" si="55"/>
        <v>737591.31866890797</v>
      </c>
      <c r="O212" s="96">
        <f t="shared" si="61"/>
        <v>-32501.875348684145</v>
      </c>
      <c r="P212" s="116">
        <f t="shared" si="67"/>
        <v>492807212.6948086</v>
      </c>
      <c r="Q212" s="97">
        <f t="shared" si="56"/>
        <v>8.7784446651430377E-3</v>
      </c>
      <c r="R212" s="97">
        <f t="shared" si="57"/>
        <v>0.1724651289204196</v>
      </c>
      <c r="S212" s="71">
        <f t="shared" si="58"/>
        <v>-0.1724651289204196</v>
      </c>
      <c r="T212" s="98">
        <f t="shared" si="47"/>
        <v>-15162.423934247232</v>
      </c>
      <c r="U212" s="99">
        <f t="shared" si="48"/>
        <v>-23.113451119279318</v>
      </c>
      <c r="V212" s="93" t="str">
        <f t="shared" si="59"/>
        <v>NO</v>
      </c>
      <c r="W212" s="95">
        <f t="shared" si="49"/>
        <v>32.501875348684145</v>
      </c>
      <c r="X212" s="95">
        <f t="shared" si="50"/>
        <v>492.80721269480858</v>
      </c>
      <c r="Y212" s="95">
        <f t="shared" si="51"/>
        <v>-492.80721269480858</v>
      </c>
      <c r="Z212" s="95">
        <f t="shared" si="52"/>
        <v>271.12517723211676</v>
      </c>
      <c r="AA212" s="93" t="str">
        <f t="shared" si="60"/>
        <v/>
      </c>
      <c r="AB212" s="100"/>
      <c r="AC212" s="71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</row>
    <row r="213" spans="1:46" ht="18.75" x14ac:dyDescent="0.25">
      <c r="A213" s="39"/>
      <c r="B213" s="39"/>
      <c r="C213" s="113">
        <f t="shared" si="62"/>
        <v>-3.5000000000000001E-3</v>
      </c>
      <c r="D213" s="94">
        <f t="shared" si="68"/>
        <v>3.0374999999999951E-2</v>
      </c>
      <c r="E213" s="94">
        <f t="shared" si="69"/>
        <v>-1.2278963414634177E-3</v>
      </c>
      <c r="F213" s="93" t="s">
        <v>107</v>
      </c>
      <c r="G213" s="95">
        <f t="shared" si="63"/>
        <v>67.778597785977951</v>
      </c>
      <c r="H213" s="115">
        <f t="shared" si="64"/>
        <v>47.033333333333289</v>
      </c>
      <c r="I213" s="115">
        <f t="shared" si="65"/>
        <v>96.141666666666509</v>
      </c>
      <c r="J213" s="115">
        <f t="shared" si="70"/>
        <v>0.80952380952380887</v>
      </c>
      <c r="K213" s="115">
        <f t="shared" si="71"/>
        <v>0.41596638655462226</v>
      </c>
      <c r="L213" s="96">
        <f t="shared" si="54"/>
        <v>-484323.89395119244</v>
      </c>
      <c r="M213" s="116">
        <f t="shared" si="66"/>
        <v>-309677.18573185743</v>
      </c>
      <c r="N213" s="96">
        <f t="shared" si="55"/>
        <v>737591.31866890797</v>
      </c>
      <c r="O213" s="96">
        <f t="shared" si="61"/>
        <v>-56409.761014141841</v>
      </c>
      <c r="P213" s="116">
        <f t="shared" si="67"/>
        <v>500444284.34173584</v>
      </c>
      <c r="Q213" s="97">
        <f t="shared" si="56"/>
        <v>1.5235735179097449E-2</v>
      </c>
      <c r="R213" s="97">
        <f t="shared" si="57"/>
        <v>0.17513783441707692</v>
      </c>
      <c r="S213" s="71">
        <f t="shared" si="58"/>
        <v>-0.17513783441707692</v>
      </c>
      <c r="T213" s="98">
        <f t="shared" ref="T213:T276" si="72">P213/O213</f>
        <v>-8871.5902238315666</v>
      </c>
      <c r="U213" s="99">
        <f t="shared" ref="U213:U276" si="73">T213/$C$13</f>
        <v>-13.523765585109096</v>
      </c>
      <c r="V213" s="93" t="str">
        <f t="shared" si="59"/>
        <v>NO</v>
      </c>
      <c r="W213" s="95">
        <f t="shared" ref="W213:W277" si="74">-O213/10^3</f>
        <v>56.409761014141843</v>
      </c>
      <c r="X213" s="95">
        <f t="shared" ref="X213:X277" si="75">P213/10^6</f>
        <v>500.44428434173585</v>
      </c>
      <c r="Y213" s="95">
        <f t="shared" ref="Y213:Y277" si="76">-P213/10^6</f>
        <v>-500.44428434173585</v>
      </c>
      <c r="Z213" s="95">
        <f t="shared" ref="Z213:Z277" si="77">(L213+N213)/10^3</f>
        <v>253.26742471771553</v>
      </c>
      <c r="AA213" s="93" t="str">
        <f t="shared" si="60"/>
        <v/>
      </c>
      <c r="AB213" s="100"/>
      <c r="AC213" s="71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</row>
    <row r="214" spans="1:46" ht="18.75" x14ac:dyDescent="0.25">
      <c r="A214" s="39"/>
      <c r="B214" s="39"/>
      <c r="C214" s="113">
        <f t="shared" si="62"/>
        <v>-3.5000000000000001E-3</v>
      </c>
      <c r="D214" s="94">
        <f t="shared" si="68"/>
        <v>2.9699999999999952E-2</v>
      </c>
      <c r="E214" s="94">
        <f t="shared" si="69"/>
        <v>-1.2731707317073203E-3</v>
      </c>
      <c r="F214" s="93" t="s">
        <v>107</v>
      </c>
      <c r="G214" s="95">
        <f t="shared" si="63"/>
        <v>69.156626506024196</v>
      </c>
      <c r="H214" s="115">
        <f t="shared" si="64"/>
        <v>47.033333333333289</v>
      </c>
      <c r="I214" s="115">
        <f t="shared" si="65"/>
        <v>96.141666666666509</v>
      </c>
      <c r="J214" s="115">
        <f t="shared" si="70"/>
        <v>0.80952380952380887</v>
      </c>
      <c r="K214" s="115">
        <f t="shared" si="71"/>
        <v>0.41596638655462226</v>
      </c>
      <c r="L214" s="96">
        <f t="shared" ref="L214:L277" si="78">IF(E214&gt;=($M$10*10^-3),$M$14*$Q$12,IF(E214&gt;=(-$M$10*10^-3),$M$16*E214*$Q$12,-$M$14*$Q$12))</f>
        <v>-502181.64646559395</v>
      </c>
      <c r="M214" s="116">
        <f t="shared" si="66"/>
        <v>-315973.33333333343</v>
      </c>
      <c r="N214" s="96">
        <f t="shared" ref="N214:N277" si="79">IF(D214&gt;=($M$10*10^-3),$M$14*$Q$11,IF(D214&gt;=(-$M$10*10^-3),$Q$11*$M$16*D214,-$M$14*$Q$11))</f>
        <v>737591.31866890797</v>
      </c>
      <c r="O214" s="96">
        <f t="shared" si="61"/>
        <v>-80563.661130019464</v>
      </c>
      <c r="P214" s="116">
        <f t="shared" si="67"/>
        <v>508146647.42355442</v>
      </c>
      <c r="Q214" s="97">
        <f t="shared" ref="Q214:Q277" si="80">-O214/($C$6*$C$13*$I$10*$I$16)</f>
        <v>2.1759471835518046E-2</v>
      </c>
      <c r="R214" s="97">
        <f t="shared" ref="R214:R277" si="81">P214/($C$6*$C$13^2*$I$10)</f>
        <v>0.17783338961123432</v>
      </c>
      <c r="S214" s="71">
        <f t="shared" ref="S214:S277" si="82">-1*R214</f>
        <v>-0.17783338961123432</v>
      </c>
      <c r="T214" s="98">
        <f t="shared" si="72"/>
        <v>-6307.392691643824</v>
      </c>
      <c r="U214" s="99">
        <f t="shared" si="73"/>
        <v>-9.6149278836033911</v>
      </c>
      <c r="V214" s="93" t="str">
        <f t="shared" ref="V214:V277" si="83">IF(T214&gt;=0, IF(T214&lt;=$C$8/6, "SI", "NO"),IF(T214&gt; -$C$8/6, "SI", "NO"))</f>
        <v>NO</v>
      </c>
      <c r="W214" s="95">
        <f t="shared" si="74"/>
        <v>80.563661130019469</v>
      </c>
      <c r="X214" s="95">
        <f t="shared" si="75"/>
        <v>508.14664742355444</v>
      </c>
      <c r="Y214" s="95">
        <f t="shared" si="76"/>
        <v>-508.14664742355444</v>
      </c>
      <c r="Z214" s="95">
        <f t="shared" si="77"/>
        <v>235.40967220331402</v>
      </c>
      <c r="AA214" s="93" t="str">
        <f t="shared" ref="AA214:AA277" si="84">IF(Z214&lt;1,IF(Z214&gt;-1,"ROTTURA BILANCIATA",""),"")</f>
        <v/>
      </c>
      <c r="AB214" s="100"/>
      <c r="AC214" s="71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</row>
    <row r="215" spans="1:46" ht="18.75" x14ac:dyDescent="0.25">
      <c r="A215" s="39"/>
      <c r="B215" s="39"/>
      <c r="C215" s="113">
        <f t="shared" si="62"/>
        <v>-3.5000000000000001E-3</v>
      </c>
      <c r="D215" s="94">
        <f t="shared" si="68"/>
        <v>2.9024999999999954E-2</v>
      </c>
      <c r="E215" s="94">
        <f t="shared" si="69"/>
        <v>-1.3184451219512222E-3</v>
      </c>
      <c r="F215" s="93" t="s">
        <v>107</v>
      </c>
      <c r="G215" s="95">
        <f t="shared" si="63"/>
        <v>70.59185242121454</v>
      </c>
      <c r="H215" s="115">
        <f t="shared" si="64"/>
        <v>47.033333333333289</v>
      </c>
      <c r="I215" s="115">
        <f t="shared" si="65"/>
        <v>96.141666666666509</v>
      </c>
      <c r="J215" s="115">
        <f t="shared" si="70"/>
        <v>0.80952380952380887</v>
      </c>
      <c r="K215" s="115">
        <f t="shared" si="71"/>
        <v>0.41596638655462226</v>
      </c>
      <c r="L215" s="96">
        <f t="shared" si="78"/>
        <v>-520039.39897999528</v>
      </c>
      <c r="M215" s="116">
        <f t="shared" si="66"/>
        <v>-322530.81219574693</v>
      </c>
      <c r="N215" s="96">
        <f t="shared" si="79"/>
        <v>737591.31866890797</v>
      </c>
      <c r="O215" s="96">
        <f t="shared" ref="O215:O276" si="85">L215+M215+N215</f>
        <v>-104978.89250683424</v>
      </c>
      <c r="P215" s="116">
        <f t="shared" si="67"/>
        <v>515917917.21161282</v>
      </c>
      <c r="Q215" s="97">
        <f t="shared" si="80"/>
        <v>2.8353791557955529E-2</v>
      </c>
      <c r="R215" s="97">
        <f t="shared" si="81"/>
        <v>0.1805530597202489</v>
      </c>
      <c r="S215" s="71">
        <f t="shared" si="82"/>
        <v>-0.1805530597202489</v>
      </c>
      <c r="T215" s="98">
        <f t="shared" si="72"/>
        <v>-4914.4919030082738</v>
      </c>
      <c r="U215" s="99">
        <f t="shared" si="73"/>
        <v>-7.4916035106833441</v>
      </c>
      <c r="V215" s="93" t="str">
        <f t="shared" si="83"/>
        <v>NO</v>
      </c>
      <c r="W215" s="95">
        <f t="shared" si="74"/>
        <v>104.97889250683424</v>
      </c>
      <c r="X215" s="95">
        <f t="shared" si="75"/>
        <v>515.9179172116128</v>
      </c>
      <c r="Y215" s="95">
        <f t="shared" si="76"/>
        <v>-515.9179172116128</v>
      </c>
      <c r="Z215" s="95">
        <f t="shared" si="77"/>
        <v>217.5519196889127</v>
      </c>
      <c r="AA215" s="93" t="str">
        <f t="shared" si="84"/>
        <v/>
      </c>
      <c r="AB215" s="100"/>
      <c r="AC215" s="71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</row>
    <row r="216" spans="1:46" ht="18.75" x14ac:dyDescent="0.25">
      <c r="A216" s="39"/>
      <c r="B216" s="39"/>
      <c r="C216" s="113">
        <f t="shared" si="62"/>
        <v>-3.5000000000000001E-3</v>
      </c>
      <c r="D216" s="94">
        <f t="shared" si="68"/>
        <v>2.8349999999999955E-2</v>
      </c>
      <c r="E216" s="94">
        <f t="shared" si="69"/>
        <v>-1.3637195121951253E-3</v>
      </c>
      <c r="F216" s="93" t="s">
        <v>107</v>
      </c>
      <c r="G216" s="95">
        <f t="shared" si="63"/>
        <v>72.087912087912201</v>
      </c>
      <c r="H216" s="115">
        <f t="shared" si="64"/>
        <v>47.033333333333289</v>
      </c>
      <c r="I216" s="115">
        <f t="shared" si="65"/>
        <v>96.141666666666509</v>
      </c>
      <c r="J216" s="115">
        <f t="shared" si="70"/>
        <v>0.80952380952380887</v>
      </c>
      <c r="K216" s="115">
        <f t="shared" si="71"/>
        <v>0.41596638655462226</v>
      </c>
      <c r="L216" s="96">
        <f t="shared" si="78"/>
        <v>-537897.15149439697</v>
      </c>
      <c r="M216" s="116">
        <f t="shared" si="66"/>
        <v>-329366.23757195205</v>
      </c>
      <c r="N216" s="96">
        <f t="shared" si="79"/>
        <v>737591.31866890797</v>
      </c>
      <c r="O216" s="96">
        <f t="shared" si="85"/>
        <v>-129672.07039744104</v>
      </c>
      <c r="P216" s="116">
        <f t="shared" si="67"/>
        <v>523761976.51709807</v>
      </c>
      <c r="Q216" s="97">
        <f t="shared" si="80"/>
        <v>3.5023181966777013E-2</v>
      </c>
      <c r="R216" s="97">
        <f t="shared" si="81"/>
        <v>0.18329820359097734</v>
      </c>
      <c r="S216" s="71">
        <f t="shared" si="82"/>
        <v>-0.18329820359097734</v>
      </c>
      <c r="T216" s="98">
        <f t="shared" si="72"/>
        <v>-4039.1271220686394</v>
      </c>
      <c r="U216" s="99">
        <f t="shared" si="73"/>
        <v>-6.1572059787631694</v>
      </c>
      <c r="V216" s="93" t="str">
        <f t="shared" si="83"/>
        <v>NO</v>
      </c>
      <c r="W216" s="95">
        <f t="shared" si="74"/>
        <v>129.67207039744105</v>
      </c>
      <c r="X216" s="95">
        <f t="shared" si="75"/>
        <v>523.76197651709811</v>
      </c>
      <c r="Y216" s="95">
        <f t="shared" si="76"/>
        <v>-523.76197651709811</v>
      </c>
      <c r="Z216" s="95">
        <f t="shared" si="77"/>
        <v>199.69416717451099</v>
      </c>
      <c r="AA216" s="93" t="str">
        <f t="shared" si="84"/>
        <v/>
      </c>
      <c r="AB216" s="100"/>
      <c r="AC216" s="71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</row>
    <row r="217" spans="1:46" ht="18.75" x14ac:dyDescent="0.25">
      <c r="A217" s="39"/>
      <c r="B217" s="39"/>
      <c r="C217" s="113">
        <f t="shared" si="62"/>
        <v>-3.5000000000000001E-3</v>
      </c>
      <c r="D217" s="94">
        <f t="shared" si="68"/>
        <v>2.7674999999999957E-2</v>
      </c>
      <c r="E217" s="94">
        <f t="shared" si="69"/>
        <v>-1.4089939024390272E-3</v>
      </c>
      <c r="F217" s="93" t="s">
        <v>107</v>
      </c>
      <c r="G217" s="95">
        <f t="shared" si="63"/>
        <v>73.64875701684052</v>
      </c>
      <c r="H217" s="115">
        <f t="shared" si="64"/>
        <v>47.033333333333289</v>
      </c>
      <c r="I217" s="115">
        <f t="shared" si="65"/>
        <v>96.141666666666509</v>
      </c>
      <c r="J217" s="115">
        <f t="shared" si="70"/>
        <v>0.80952380952380887</v>
      </c>
      <c r="K217" s="115">
        <f t="shared" si="71"/>
        <v>0.41596638655462226</v>
      </c>
      <c r="L217" s="96">
        <f t="shared" si="78"/>
        <v>-555754.9040087983</v>
      </c>
      <c r="M217" s="116">
        <f t="shared" si="66"/>
        <v>-336497.66372627654</v>
      </c>
      <c r="N217" s="96">
        <f t="shared" si="79"/>
        <v>737591.31866890797</v>
      </c>
      <c r="O217" s="96">
        <f t="shared" si="85"/>
        <v>-154661.24906616681</v>
      </c>
      <c r="P217" s="116">
        <f t="shared" si="67"/>
        <v>531683000.34845674</v>
      </c>
      <c r="Q217" s="97">
        <f t="shared" si="80"/>
        <v>4.1772519345540389E-2</v>
      </c>
      <c r="R217" s="97">
        <f t="shared" si="81"/>
        <v>0.18607028232900305</v>
      </c>
      <c r="S217" s="71">
        <f t="shared" si="82"/>
        <v>-0.18607028232900305</v>
      </c>
      <c r="T217" s="98">
        <f t="shared" si="72"/>
        <v>-3437.726020956894</v>
      </c>
      <c r="U217" s="99">
        <f t="shared" si="73"/>
        <v>-5.2404360075562408</v>
      </c>
      <c r="V217" s="93" t="str">
        <f t="shared" si="83"/>
        <v>NO</v>
      </c>
      <c r="W217" s="95">
        <f t="shared" si="74"/>
        <v>154.66124906616682</v>
      </c>
      <c r="X217" s="95">
        <f t="shared" si="75"/>
        <v>531.68300034845674</v>
      </c>
      <c r="Y217" s="95">
        <f t="shared" si="76"/>
        <v>-531.68300034845674</v>
      </c>
      <c r="Z217" s="95">
        <f t="shared" si="77"/>
        <v>181.83641466010968</v>
      </c>
      <c r="AA217" s="93" t="str">
        <f t="shared" si="84"/>
        <v/>
      </c>
      <c r="AB217" s="100"/>
      <c r="AC217" s="71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</row>
    <row r="218" spans="1:46" ht="18.75" x14ac:dyDescent="0.25">
      <c r="A218" s="39"/>
      <c r="B218" s="39"/>
      <c r="C218" s="113">
        <f t="shared" si="62"/>
        <v>-3.5000000000000001E-3</v>
      </c>
      <c r="D218" s="94">
        <f t="shared" si="68"/>
        <v>2.6999999999999958E-2</v>
      </c>
      <c r="E218" s="94">
        <f t="shared" si="69"/>
        <v>-1.4542682926829294E-3</v>
      </c>
      <c r="F218" s="93" t="s">
        <v>107</v>
      </c>
      <c r="G218" s="95">
        <f t="shared" si="63"/>
        <v>75.278688524590265</v>
      </c>
      <c r="H218" s="115">
        <f t="shared" si="64"/>
        <v>47.033333333333289</v>
      </c>
      <c r="I218" s="115">
        <f t="shared" si="65"/>
        <v>96.141666666666509</v>
      </c>
      <c r="J218" s="115">
        <f t="shared" si="70"/>
        <v>0.80952380952380887</v>
      </c>
      <c r="K218" s="115">
        <f t="shared" si="71"/>
        <v>0.41596638655462226</v>
      </c>
      <c r="L218" s="96">
        <f t="shared" si="78"/>
        <v>-573612.65652319964</v>
      </c>
      <c r="M218" s="116">
        <f t="shared" si="66"/>
        <v>-343944.74316939904</v>
      </c>
      <c r="N218" s="96">
        <f t="shared" si="79"/>
        <v>737591.31866890797</v>
      </c>
      <c r="O218" s="96">
        <f t="shared" si="85"/>
        <v>-179966.08102369076</v>
      </c>
      <c r="P218" s="116">
        <f t="shared" si="67"/>
        <v>539685483.25851429</v>
      </c>
      <c r="Q218" s="97">
        <f t="shared" si="80"/>
        <v>4.8607111648807606E-2</v>
      </c>
      <c r="R218" s="97">
        <f t="shared" si="81"/>
        <v>0.18887086886916241</v>
      </c>
      <c r="S218" s="71">
        <f t="shared" si="82"/>
        <v>-0.18887086886916241</v>
      </c>
      <c r="T218" s="98">
        <f t="shared" si="72"/>
        <v>-2998.81777826495</v>
      </c>
      <c r="U218" s="99">
        <f t="shared" si="73"/>
        <v>-4.5713685644282771</v>
      </c>
      <c r="V218" s="93" t="str">
        <f t="shared" si="83"/>
        <v>NO</v>
      </c>
      <c r="W218" s="95">
        <f t="shared" si="74"/>
        <v>179.96608102369075</v>
      </c>
      <c r="X218" s="95">
        <f t="shared" si="75"/>
        <v>539.6854832585143</v>
      </c>
      <c r="Y218" s="95">
        <f t="shared" si="76"/>
        <v>-539.6854832585143</v>
      </c>
      <c r="Z218" s="95">
        <f t="shared" si="77"/>
        <v>163.97866214570834</v>
      </c>
      <c r="AA218" s="93" t="str">
        <f t="shared" si="84"/>
        <v/>
      </c>
      <c r="AB218" s="100"/>
      <c r="AC218" s="71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</row>
    <row r="219" spans="1:46" ht="18.75" x14ac:dyDescent="0.25">
      <c r="A219" s="39"/>
      <c r="B219" s="39"/>
      <c r="C219" s="113">
        <f t="shared" si="62"/>
        <v>-3.5000000000000001E-3</v>
      </c>
      <c r="D219" s="94">
        <f t="shared" si="68"/>
        <v>2.632499999999996E-2</v>
      </c>
      <c r="E219" s="94">
        <f t="shared" si="69"/>
        <v>-1.4995426829268325E-3</v>
      </c>
      <c r="F219" s="93" t="s">
        <v>107</v>
      </c>
      <c r="G219" s="95">
        <f t="shared" si="63"/>
        <v>76.982397317686619</v>
      </c>
      <c r="H219" s="115">
        <f t="shared" si="64"/>
        <v>47.033333333333289</v>
      </c>
      <c r="I219" s="115">
        <f t="shared" si="65"/>
        <v>96.141666666666509</v>
      </c>
      <c r="J219" s="115">
        <f t="shared" si="70"/>
        <v>0.80952380952380887</v>
      </c>
      <c r="K219" s="115">
        <f t="shared" si="71"/>
        <v>0.41596638655462226</v>
      </c>
      <c r="L219" s="96">
        <f t="shared" si="78"/>
        <v>-591470.40903760144</v>
      </c>
      <c r="M219" s="116">
        <f t="shared" si="66"/>
        <v>-351728.9075160661</v>
      </c>
      <c r="N219" s="96">
        <f t="shared" si="79"/>
        <v>737591.31866890797</v>
      </c>
      <c r="O219" s="96">
        <f t="shared" si="85"/>
        <v>-205607.99788475956</v>
      </c>
      <c r="P219" s="116">
        <f t="shared" si="67"/>
        <v>547774269.71270597</v>
      </c>
      <c r="Q219" s="97">
        <f t="shared" si="80"/>
        <v>5.5532747350078113E-2</v>
      </c>
      <c r="R219" s="97">
        <f t="shared" si="81"/>
        <v>0.19170165860335375</v>
      </c>
      <c r="S219" s="71">
        <f t="shared" si="82"/>
        <v>-0.19170165860335375</v>
      </c>
      <c r="T219" s="98">
        <f t="shared" si="72"/>
        <v>-2664.1681031285848</v>
      </c>
      <c r="U219" s="99">
        <f t="shared" si="73"/>
        <v>-4.0612318645252818</v>
      </c>
      <c r="V219" s="93" t="str">
        <f t="shared" si="83"/>
        <v>NO</v>
      </c>
      <c r="W219" s="95">
        <f t="shared" si="74"/>
        <v>205.60799788475956</v>
      </c>
      <c r="X219" s="95">
        <f t="shared" si="75"/>
        <v>547.77426971270597</v>
      </c>
      <c r="Y219" s="95">
        <f t="shared" si="76"/>
        <v>-547.77426971270597</v>
      </c>
      <c r="Z219" s="95">
        <f t="shared" si="77"/>
        <v>146.12090963130655</v>
      </c>
      <c r="AA219" s="93" t="str">
        <f t="shared" si="84"/>
        <v/>
      </c>
      <c r="AB219" s="100"/>
      <c r="AC219" s="71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</row>
    <row r="220" spans="1:46" ht="18.75" x14ac:dyDescent="0.25">
      <c r="A220" s="39"/>
      <c r="B220" s="39"/>
      <c r="C220" s="113">
        <f t="shared" si="62"/>
        <v>-3.5000000000000001E-3</v>
      </c>
      <c r="D220" s="94">
        <f t="shared" si="68"/>
        <v>2.5649999999999961E-2</v>
      </c>
      <c r="E220" s="94">
        <f t="shared" si="69"/>
        <v>-1.5448170731707344E-3</v>
      </c>
      <c r="F220" s="93" t="s">
        <v>107</v>
      </c>
      <c r="G220" s="95">
        <f t="shared" si="63"/>
        <v>78.765008576329436</v>
      </c>
      <c r="H220" s="115">
        <f t="shared" si="64"/>
        <v>47.033333333333289</v>
      </c>
      <c r="I220" s="115">
        <f t="shared" si="65"/>
        <v>96.141666666666509</v>
      </c>
      <c r="J220" s="115">
        <f t="shared" si="70"/>
        <v>0.80952380952380887</v>
      </c>
      <c r="K220" s="115">
        <f t="shared" si="71"/>
        <v>0.41596638655462226</v>
      </c>
      <c r="L220" s="96">
        <f t="shared" si="78"/>
        <v>-609328.16155200254</v>
      </c>
      <c r="M220" s="116">
        <f t="shared" si="66"/>
        <v>-359873.57347055472</v>
      </c>
      <c r="N220" s="96">
        <f t="shared" si="79"/>
        <v>737591.31866890797</v>
      </c>
      <c r="O220" s="96">
        <f t="shared" si="85"/>
        <v>-231610.41635364923</v>
      </c>
      <c r="P220" s="116">
        <f t="shared" si="67"/>
        <v>555954587.8532896</v>
      </c>
      <c r="Q220" s="97">
        <f t="shared" si="80"/>
        <v>6.255575107648563E-2</v>
      </c>
      <c r="R220" s="97">
        <f t="shared" si="81"/>
        <v>0.19456448119681996</v>
      </c>
      <c r="S220" s="71">
        <f t="shared" si="82"/>
        <v>-0.19456448119681996</v>
      </c>
      <c r="T220" s="98">
        <f t="shared" si="72"/>
        <v>-2400.3868073204217</v>
      </c>
      <c r="U220" s="99">
        <f t="shared" si="73"/>
        <v>-3.6591262306713745</v>
      </c>
      <c r="V220" s="93" t="str">
        <f t="shared" si="83"/>
        <v>NO</v>
      </c>
      <c r="W220" s="95">
        <f t="shared" si="74"/>
        <v>231.61041635364921</v>
      </c>
      <c r="X220" s="95">
        <f t="shared" si="75"/>
        <v>555.95458785328958</v>
      </c>
      <c r="Y220" s="95">
        <f t="shared" si="76"/>
        <v>-555.95458785328958</v>
      </c>
      <c r="Z220" s="95">
        <f t="shared" si="77"/>
        <v>128.26315711690543</v>
      </c>
      <c r="AA220" s="93" t="str">
        <f t="shared" si="84"/>
        <v/>
      </c>
      <c r="AB220" s="100"/>
      <c r="AC220" s="71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</row>
    <row r="221" spans="1:46" ht="18.75" x14ac:dyDescent="0.25">
      <c r="A221" s="39"/>
      <c r="B221" s="39"/>
      <c r="C221" s="113">
        <f t="shared" si="62"/>
        <v>-3.5000000000000001E-3</v>
      </c>
      <c r="D221" s="94">
        <f t="shared" si="68"/>
        <v>2.4974999999999963E-2</v>
      </c>
      <c r="E221" s="94">
        <f t="shared" si="69"/>
        <v>-1.5900914634146366E-3</v>
      </c>
      <c r="F221" s="93" t="s">
        <v>107</v>
      </c>
      <c r="G221" s="95">
        <f t="shared" si="63"/>
        <v>80.632133450395187</v>
      </c>
      <c r="H221" s="115">
        <f t="shared" si="64"/>
        <v>47.033333333333289</v>
      </c>
      <c r="I221" s="115">
        <f t="shared" si="65"/>
        <v>96.141666666666509</v>
      </c>
      <c r="J221" s="115">
        <f t="shared" si="70"/>
        <v>0.80952380952380887</v>
      </c>
      <c r="K221" s="115">
        <f t="shared" si="71"/>
        <v>0.41596638655462226</v>
      </c>
      <c r="L221" s="96">
        <f t="shared" si="78"/>
        <v>-627185.91406640399</v>
      </c>
      <c r="M221" s="116">
        <f t="shared" si="66"/>
        <v>-368404.37810945284</v>
      </c>
      <c r="N221" s="96">
        <f t="shared" si="79"/>
        <v>737591.31866890797</v>
      </c>
      <c r="O221" s="96">
        <f t="shared" si="85"/>
        <v>-257998.97350694891</v>
      </c>
      <c r="P221" s="116">
        <f t="shared" si="67"/>
        <v>564232087.08320642</v>
      </c>
      <c r="Q221" s="97">
        <f t="shared" si="80"/>
        <v>6.9683047156420416E-2</v>
      </c>
      <c r="R221" s="97">
        <f t="shared" si="81"/>
        <v>0.19746131374117309</v>
      </c>
      <c r="S221" s="71">
        <f t="shared" si="82"/>
        <v>-0.19746131374117309</v>
      </c>
      <c r="T221" s="98">
        <f t="shared" si="72"/>
        <v>-2186.9547751049849</v>
      </c>
      <c r="U221" s="99">
        <f t="shared" si="73"/>
        <v>-3.3337725230258917</v>
      </c>
      <c r="V221" s="93" t="str">
        <f t="shared" si="83"/>
        <v>NO</v>
      </c>
      <c r="W221" s="95">
        <f t="shared" si="74"/>
        <v>257.99897350694891</v>
      </c>
      <c r="X221" s="95">
        <f t="shared" si="75"/>
        <v>564.23208708320647</v>
      </c>
      <c r="Y221" s="95">
        <f t="shared" si="76"/>
        <v>-564.23208708320647</v>
      </c>
      <c r="Z221" s="95">
        <f t="shared" si="77"/>
        <v>110.40540460250399</v>
      </c>
      <c r="AA221" s="93" t="str">
        <f t="shared" si="84"/>
        <v/>
      </c>
      <c r="AB221" s="100"/>
      <c r="AC221" s="71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</row>
    <row r="222" spans="1:46" ht="18.75" x14ac:dyDescent="0.25">
      <c r="A222" s="39"/>
      <c r="B222" s="39"/>
      <c r="C222" s="113">
        <f t="shared" ref="C222:C262" si="86">$I$12*10^-3</f>
        <v>-3.5000000000000001E-3</v>
      </c>
      <c r="D222" s="94">
        <f t="shared" si="68"/>
        <v>2.4299999999999964E-2</v>
      </c>
      <c r="E222" s="94">
        <f t="shared" si="69"/>
        <v>-1.635365853658539E-3</v>
      </c>
      <c r="F222" s="93" t="s">
        <v>107</v>
      </c>
      <c r="G222" s="95">
        <f t="shared" ref="G222:G258" si="87">(-$I$12*10^-3/(-$I$12*10^-3+D222))*$C$13</f>
        <v>82.589928057554062</v>
      </c>
      <c r="H222" s="115">
        <f t="shared" ref="H222:H258" si="88">$H$157</f>
        <v>47.033333333333289</v>
      </c>
      <c r="I222" s="115">
        <f t="shared" ref="I222:I258" si="89">$I$157</f>
        <v>96.141666666666509</v>
      </c>
      <c r="J222" s="115">
        <f t="shared" si="70"/>
        <v>0.80952380952380887</v>
      </c>
      <c r="K222" s="115">
        <f t="shared" si="71"/>
        <v>0.41596638655462226</v>
      </c>
      <c r="L222" s="96">
        <f t="shared" si="78"/>
        <v>-645043.66658080544</v>
      </c>
      <c r="M222" s="116">
        <f t="shared" ref="M222:M258" si="90">-$I$16*$C$6*J222*$I$10*G222</f>
        <v>-377349.44844124711</v>
      </c>
      <c r="N222" s="96">
        <f t="shared" si="79"/>
        <v>737591.31866890797</v>
      </c>
      <c r="O222" s="96">
        <f t="shared" si="85"/>
        <v>-284801.79635314457</v>
      </c>
      <c r="P222" s="116">
        <f t="shared" ref="P222:P258" si="91">-M222*($C$8/2-(K222*G222))-L222*($C$13/2)+N222*($C$13/2)</f>
        <v>572612879.94771767</v>
      </c>
      <c r="Q222" s="97">
        <f t="shared" si="80"/>
        <v>7.6922232424986345E-2</v>
      </c>
      <c r="R222" s="97">
        <f t="shared" si="81"/>
        <v>0.20039429541148884</v>
      </c>
      <c r="S222" s="71">
        <f t="shared" si="82"/>
        <v>-0.20039429541148884</v>
      </c>
      <c r="T222" s="98">
        <f t="shared" si="72"/>
        <v>-2010.566250915416</v>
      </c>
      <c r="U222" s="99">
        <f t="shared" si="73"/>
        <v>-3.0648875776149636</v>
      </c>
      <c r="V222" s="93" t="str">
        <f t="shared" si="83"/>
        <v>NO</v>
      </c>
      <c r="W222" s="95">
        <f t="shared" si="74"/>
        <v>284.8017963531446</v>
      </c>
      <c r="X222" s="95">
        <f t="shared" si="75"/>
        <v>572.61287994771772</v>
      </c>
      <c r="Y222" s="95">
        <f t="shared" si="76"/>
        <v>-572.61287994771772</v>
      </c>
      <c r="Z222" s="95">
        <f t="shared" si="77"/>
        <v>92.547652088102538</v>
      </c>
      <c r="AA222" s="93" t="str">
        <f t="shared" si="84"/>
        <v/>
      </c>
      <c r="AB222" s="100"/>
      <c r="AC222" s="71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</row>
    <row r="223" spans="1:46" ht="18.75" x14ac:dyDescent="0.25">
      <c r="A223" s="39"/>
      <c r="B223" s="39"/>
      <c r="C223" s="113">
        <f t="shared" si="86"/>
        <v>-3.5000000000000001E-3</v>
      </c>
      <c r="D223" s="94">
        <f t="shared" ref="D223:D258" si="92">D222-($M$8*10^-3/100)</f>
        <v>2.3624999999999965E-2</v>
      </c>
      <c r="E223" s="94">
        <f t="shared" ref="E223:E258" si="93">($I$12*(G223-$C$10))/(G223*1000)</f>
        <v>-1.6806402439024414E-3</v>
      </c>
      <c r="F223" s="93" t="s">
        <v>107</v>
      </c>
      <c r="G223" s="95">
        <f t="shared" si="87"/>
        <v>84.64516129032269</v>
      </c>
      <c r="H223" s="115">
        <f t="shared" si="88"/>
        <v>47.033333333333289</v>
      </c>
      <c r="I223" s="115">
        <f t="shared" si="89"/>
        <v>96.141666666666509</v>
      </c>
      <c r="J223" s="115">
        <f t="shared" si="70"/>
        <v>0.80952380952380887</v>
      </c>
      <c r="K223" s="115">
        <f t="shared" si="71"/>
        <v>0.41596638655462226</v>
      </c>
      <c r="L223" s="96">
        <f t="shared" si="78"/>
        <v>-662901.41909520689</v>
      </c>
      <c r="M223" s="116">
        <f t="shared" si="90"/>
        <v>-386739.71121351776</v>
      </c>
      <c r="N223" s="96">
        <f t="shared" si="79"/>
        <v>737591.31866890797</v>
      </c>
      <c r="O223" s="96">
        <f t="shared" si="85"/>
        <v>-312049.81163981673</v>
      </c>
      <c r="P223" s="116">
        <f t="shared" si="91"/>
        <v>581103588.85223877</v>
      </c>
      <c r="Q223" s="97">
        <f t="shared" si="80"/>
        <v>8.4281659899952246E-2</v>
      </c>
      <c r="R223" s="97">
        <f t="shared" si="81"/>
        <v>0.20336574381589936</v>
      </c>
      <c r="S223" s="71">
        <f t="shared" si="82"/>
        <v>-0.20336574381589936</v>
      </c>
      <c r="T223" s="98">
        <f t="shared" si="72"/>
        <v>-1862.2141952227075</v>
      </c>
      <c r="U223" s="99">
        <f t="shared" si="73"/>
        <v>-2.8387411512541272</v>
      </c>
      <c r="V223" s="93" t="str">
        <f t="shared" si="83"/>
        <v>NO</v>
      </c>
      <c r="W223" s="95">
        <f t="shared" si="74"/>
        <v>312.04981163981671</v>
      </c>
      <c r="X223" s="95">
        <f t="shared" si="75"/>
        <v>581.10358885223877</v>
      </c>
      <c r="Y223" s="95">
        <f t="shared" si="76"/>
        <v>-581.10358885223877</v>
      </c>
      <c r="Z223" s="95">
        <f t="shared" si="77"/>
        <v>74.689899573701084</v>
      </c>
      <c r="AA223" s="93" t="str">
        <f t="shared" si="84"/>
        <v/>
      </c>
      <c r="AB223" s="100"/>
      <c r="AC223" s="71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</row>
    <row r="224" spans="1:46" ht="18.75" x14ac:dyDescent="0.25">
      <c r="A224" s="39"/>
      <c r="B224" s="39"/>
      <c r="C224" s="113">
        <f t="shared" si="86"/>
        <v>-3.5000000000000001E-3</v>
      </c>
      <c r="D224" s="94">
        <f t="shared" si="92"/>
        <v>2.2949999999999967E-2</v>
      </c>
      <c r="E224" s="94">
        <f t="shared" si="93"/>
        <v>-1.7259146341463438E-3</v>
      </c>
      <c r="F224" s="93" t="s">
        <v>107</v>
      </c>
      <c r="G224" s="95">
        <f t="shared" si="87"/>
        <v>86.805293005671203</v>
      </c>
      <c r="H224" s="115">
        <f t="shared" si="88"/>
        <v>47.033333333333289</v>
      </c>
      <c r="I224" s="115">
        <f t="shared" si="89"/>
        <v>96.141666666666509</v>
      </c>
      <c r="J224" s="115">
        <f t="shared" si="70"/>
        <v>0.80952380952380887</v>
      </c>
      <c r="K224" s="115">
        <f t="shared" si="71"/>
        <v>0.41596638655462226</v>
      </c>
      <c r="L224" s="96">
        <f t="shared" si="78"/>
        <v>-680759.17160960834</v>
      </c>
      <c r="M224" s="116">
        <f t="shared" si="90"/>
        <v>-396609.25015753007</v>
      </c>
      <c r="N224" s="96">
        <f t="shared" si="79"/>
        <v>737591.31866890797</v>
      </c>
      <c r="O224" s="96">
        <f t="shared" si="85"/>
        <v>-339777.10309823044</v>
      </c>
      <c r="P224" s="116">
        <f t="shared" si="91"/>
        <v>589711398.2206918</v>
      </c>
      <c r="Q224" s="97">
        <f t="shared" si="80"/>
        <v>9.1770535270087841E-2</v>
      </c>
      <c r="R224" s="97">
        <f t="shared" si="81"/>
        <v>0.20637817324917557</v>
      </c>
      <c r="S224" s="71">
        <f t="shared" si="82"/>
        <v>-0.20637817324917557</v>
      </c>
      <c r="T224" s="98">
        <f t="shared" si="72"/>
        <v>-1735.5831009313324</v>
      </c>
      <c r="U224" s="99">
        <f t="shared" si="73"/>
        <v>-2.6457059465416655</v>
      </c>
      <c r="V224" s="93" t="str">
        <f t="shared" si="83"/>
        <v>NO</v>
      </c>
      <c r="W224" s="95">
        <f t="shared" si="74"/>
        <v>339.77710309823044</v>
      </c>
      <c r="X224" s="95">
        <f t="shared" si="75"/>
        <v>589.71139822069176</v>
      </c>
      <c r="Y224" s="95">
        <f t="shared" si="76"/>
        <v>-589.71139822069176</v>
      </c>
      <c r="Z224" s="95">
        <f t="shared" si="77"/>
        <v>56.832147059299636</v>
      </c>
      <c r="AA224" s="93" t="str">
        <f t="shared" si="84"/>
        <v/>
      </c>
      <c r="AB224" s="100"/>
      <c r="AC224" s="71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</row>
    <row r="225" spans="1:46" ht="18.75" x14ac:dyDescent="0.25">
      <c r="A225" s="39"/>
      <c r="B225" s="39"/>
      <c r="C225" s="113">
        <f t="shared" si="86"/>
        <v>-3.5000000000000001E-3</v>
      </c>
      <c r="D225" s="94">
        <f t="shared" si="92"/>
        <v>2.2274999999999968E-2</v>
      </c>
      <c r="E225" s="94">
        <f t="shared" si="93"/>
        <v>-1.7711890243902464E-3</v>
      </c>
      <c r="F225" s="93" t="s">
        <v>107</v>
      </c>
      <c r="G225" s="95">
        <f t="shared" si="87"/>
        <v>89.078564500485086</v>
      </c>
      <c r="H225" s="115">
        <f t="shared" si="88"/>
        <v>47.033333333333289</v>
      </c>
      <c r="I225" s="115">
        <f t="shared" si="89"/>
        <v>96.141666666666509</v>
      </c>
      <c r="J225" s="115">
        <f t="shared" si="70"/>
        <v>0.80952380952380887</v>
      </c>
      <c r="K225" s="115">
        <f t="shared" si="71"/>
        <v>0.41596638655462226</v>
      </c>
      <c r="L225" s="96">
        <f t="shared" si="78"/>
        <v>-698616.92412400991</v>
      </c>
      <c r="M225" s="116">
        <f t="shared" si="90"/>
        <v>-406995.71936631115</v>
      </c>
      <c r="N225" s="96">
        <f t="shared" si="79"/>
        <v>737591.31866890797</v>
      </c>
      <c r="O225" s="96">
        <f t="shared" si="85"/>
        <v>-368021.32482141303</v>
      </c>
      <c r="P225" s="116">
        <f t="shared" si="91"/>
        <v>598444112.76949465</v>
      </c>
      <c r="Q225" s="97">
        <f t="shared" si="80"/>
        <v>9.9399028544615992E-2</v>
      </c>
      <c r="R225" s="97">
        <f t="shared" si="81"/>
        <v>0.20943431508656626</v>
      </c>
      <c r="S225" s="71">
        <f t="shared" si="82"/>
        <v>-0.20943431508656626</v>
      </c>
      <c r="T225" s="98">
        <f t="shared" si="72"/>
        <v>-1626.1125983933055</v>
      </c>
      <c r="U225" s="99">
        <f t="shared" si="73"/>
        <v>-2.4788301804775998</v>
      </c>
      <c r="V225" s="93" t="str">
        <f t="shared" si="83"/>
        <v>NO</v>
      </c>
      <c r="W225" s="95">
        <f t="shared" si="74"/>
        <v>368.02132482141303</v>
      </c>
      <c r="X225" s="95">
        <f t="shared" si="75"/>
        <v>598.44411276949461</v>
      </c>
      <c r="Y225" s="95">
        <f t="shared" si="76"/>
        <v>-598.44411276949461</v>
      </c>
      <c r="Z225" s="95">
        <f t="shared" si="77"/>
        <v>38.974394544898068</v>
      </c>
      <c r="AA225" s="93" t="str">
        <f t="shared" si="84"/>
        <v/>
      </c>
      <c r="AB225" s="100"/>
      <c r="AC225" s="71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</row>
    <row r="226" spans="1:46" ht="18.75" x14ac:dyDescent="0.25">
      <c r="A226" s="39"/>
      <c r="B226" s="39"/>
      <c r="C226" s="113">
        <f t="shared" si="86"/>
        <v>-3.5000000000000001E-3</v>
      </c>
      <c r="D226" s="94">
        <f t="shared" si="92"/>
        <v>2.159999999999997E-2</v>
      </c>
      <c r="E226" s="94">
        <f t="shared" si="93"/>
        <v>-1.8164634146341486E-3</v>
      </c>
      <c r="F226" s="93" t="s">
        <v>107</v>
      </c>
      <c r="G226" s="95">
        <f t="shared" si="87"/>
        <v>91.474103585657488</v>
      </c>
      <c r="H226" s="115">
        <f t="shared" si="88"/>
        <v>47.033333333333289</v>
      </c>
      <c r="I226" s="115">
        <f t="shared" si="89"/>
        <v>96.141666666666509</v>
      </c>
      <c r="J226" s="115">
        <f t="shared" si="70"/>
        <v>0.80952380952380887</v>
      </c>
      <c r="K226" s="115">
        <f t="shared" si="71"/>
        <v>0.41596638655462226</v>
      </c>
      <c r="L226" s="96">
        <f t="shared" si="78"/>
        <v>-716474.67663841124</v>
      </c>
      <c r="M226" s="116">
        <f t="shared" si="90"/>
        <v>-417940.82337317406</v>
      </c>
      <c r="N226" s="96">
        <f t="shared" si="79"/>
        <v>737591.31866890797</v>
      </c>
      <c r="O226" s="96">
        <f t="shared" si="85"/>
        <v>-396824.18134267721</v>
      </c>
      <c r="P226" s="116">
        <f t="shared" si="91"/>
        <v>607310222.64636385</v>
      </c>
      <c r="Q226" s="97">
        <f t="shared" si="80"/>
        <v>0.1071784037178153</v>
      </c>
      <c r="R226" s="97">
        <f t="shared" si="81"/>
        <v>0.21253714058007991</v>
      </c>
      <c r="S226" s="71">
        <f t="shared" si="82"/>
        <v>-0.21253714058007991</v>
      </c>
      <c r="T226" s="98">
        <f t="shared" si="72"/>
        <v>-1530.4264487902303</v>
      </c>
      <c r="U226" s="99">
        <f t="shared" si="73"/>
        <v>-2.3329671475460829</v>
      </c>
      <c r="V226" s="93" t="str">
        <f t="shared" si="83"/>
        <v>NO</v>
      </c>
      <c r="W226" s="95">
        <f t="shared" si="74"/>
        <v>396.82418134267721</v>
      </c>
      <c r="X226" s="95">
        <f t="shared" si="75"/>
        <v>607.31022264636385</v>
      </c>
      <c r="Y226" s="95">
        <f t="shared" si="76"/>
        <v>-607.31022264636385</v>
      </c>
      <c r="Z226" s="95">
        <f t="shared" si="77"/>
        <v>21.116642030496731</v>
      </c>
      <c r="AA226" s="93" t="str">
        <f t="shared" si="84"/>
        <v/>
      </c>
      <c r="AB226" s="100"/>
      <c r="AC226" s="71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</row>
    <row r="227" spans="1:46" ht="18.75" x14ac:dyDescent="0.25">
      <c r="A227" s="39"/>
      <c r="B227" s="39"/>
      <c r="C227" s="113">
        <f t="shared" si="86"/>
        <v>-3.5000000000000001E-3</v>
      </c>
      <c r="D227" s="94">
        <f t="shared" si="92"/>
        <v>2.0924999999999971E-2</v>
      </c>
      <c r="E227" s="94">
        <f t="shared" si="93"/>
        <v>-1.8617378048780507E-3</v>
      </c>
      <c r="F227" s="93" t="s">
        <v>107</v>
      </c>
      <c r="G227" s="95">
        <f t="shared" si="87"/>
        <v>94.002047082906969</v>
      </c>
      <c r="H227" s="115">
        <f t="shared" si="88"/>
        <v>47.033333333333289</v>
      </c>
      <c r="I227" s="115">
        <f t="shared" si="89"/>
        <v>96.141666666666509</v>
      </c>
      <c r="J227" s="115">
        <f t="shared" si="70"/>
        <v>0.80952380952380887</v>
      </c>
      <c r="K227" s="115">
        <f t="shared" si="71"/>
        <v>0.41596638655462226</v>
      </c>
      <c r="L227" s="96">
        <f t="shared" si="78"/>
        <v>-734332.42915281258</v>
      </c>
      <c r="M227" s="116">
        <f t="shared" si="90"/>
        <v>-429490.87683384516</v>
      </c>
      <c r="N227" s="96">
        <f t="shared" si="79"/>
        <v>737591.31866890797</v>
      </c>
      <c r="O227" s="96">
        <f t="shared" si="85"/>
        <v>-426231.98731774976</v>
      </c>
      <c r="P227" s="116">
        <f t="shared" si="91"/>
        <v>616318976.25738859</v>
      </c>
      <c r="Q227" s="97">
        <f t="shared" si="80"/>
        <v>0.11512116993379271</v>
      </c>
      <c r="R227" s="97">
        <f t="shared" si="81"/>
        <v>0.21568988634538971</v>
      </c>
      <c r="S227" s="71">
        <f t="shared" si="82"/>
        <v>-0.21568988634538971</v>
      </c>
      <c r="T227" s="98">
        <f t="shared" si="72"/>
        <v>-1445.9707262607012</v>
      </c>
      <c r="U227" s="99">
        <f t="shared" si="73"/>
        <v>-2.2042236680803371</v>
      </c>
      <c r="V227" s="93" t="str">
        <f t="shared" si="83"/>
        <v>NO</v>
      </c>
      <c r="W227" s="95">
        <f t="shared" si="74"/>
        <v>426.23198731774977</v>
      </c>
      <c r="X227" s="95">
        <f t="shared" si="75"/>
        <v>616.31897625738861</v>
      </c>
      <c r="Y227" s="95">
        <f t="shared" si="76"/>
        <v>-616.31897625738861</v>
      </c>
      <c r="Z227" s="95">
        <f t="shared" si="77"/>
        <v>3.2588895160953979</v>
      </c>
      <c r="AA227" s="93" t="str">
        <f t="shared" si="84"/>
        <v/>
      </c>
      <c r="AB227" s="100"/>
      <c r="AC227" s="71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</row>
    <row r="228" spans="1:46" ht="18.75" x14ac:dyDescent="0.25">
      <c r="A228" s="39"/>
      <c r="B228" s="39"/>
      <c r="C228" s="113">
        <f t="shared" si="86"/>
        <v>-3.5000000000000001E-3</v>
      </c>
      <c r="D228" s="94">
        <f t="shared" si="92"/>
        <v>2.0249999999999973E-2</v>
      </c>
      <c r="E228" s="94">
        <f t="shared" si="93"/>
        <v>-1.9070121951219531E-3</v>
      </c>
      <c r="F228" s="93" t="s">
        <v>107</v>
      </c>
      <c r="G228" s="95">
        <f t="shared" si="87"/>
        <v>96.673684210526432</v>
      </c>
      <c r="H228" s="115">
        <f t="shared" si="88"/>
        <v>47.033333333333289</v>
      </c>
      <c r="I228" s="115">
        <f t="shared" si="89"/>
        <v>96.141666666666509</v>
      </c>
      <c r="J228" s="115">
        <f t="shared" si="70"/>
        <v>0.80952380952380887</v>
      </c>
      <c r="K228" s="115">
        <f t="shared" si="71"/>
        <v>0.41596638655462226</v>
      </c>
      <c r="L228" s="96">
        <f t="shared" si="78"/>
        <v>-737591.31866890797</v>
      </c>
      <c r="M228" s="116">
        <f t="shared" si="90"/>
        <v>-441697.4596491229</v>
      </c>
      <c r="N228" s="96">
        <f t="shared" si="79"/>
        <v>737591.31866890797</v>
      </c>
      <c r="O228" s="96">
        <f t="shared" si="85"/>
        <v>-441697.45964912279</v>
      </c>
      <c r="P228" s="116">
        <f t="shared" si="91"/>
        <v>620692034.61164212</v>
      </c>
      <c r="Q228" s="97">
        <f t="shared" si="80"/>
        <v>0.11929824561403511</v>
      </c>
      <c r="R228" s="97">
        <f t="shared" si="81"/>
        <v>0.21722030240549295</v>
      </c>
      <c r="S228" s="71">
        <f t="shared" si="82"/>
        <v>-0.21722030240549295</v>
      </c>
      <c r="T228" s="98">
        <f t="shared" si="72"/>
        <v>-1405.2424822744276</v>
      </c>
      <c r="U228" s="99">
        <f t="shared" si="73"/>
        <v>-2.1421379302963834</v>
      </c>
      <c r="V228" s="93" t="str">
        <f t="shared" si="83"/>
        <v>NO</v>
      </c>
      <c r="W228" s="95">
        <f t="shared" si="74"/>
        <v>441.69745964912278</v>
      </c>
      <c r="X228" s="95">
        <f t="shared" si="75"/>
        <v>620.69203461164216</v>
      </c>
      <c r="Y228" s="95">
        <f t="shared" si="76"/>
        <v>-620.69203461164216</v>
      </c>
      <c r="Z228" s="95">
        <f t="shared" si="77"/>
        <v>0</v>
      </c>
      <c r="AA228" s="93" t="str">
        <f t="shared" si="84"/>
        <v>ROTTURA BILANCIATA</v>
      </c>
      <c r="AB228" s="100"/>
      <c r="AC228" s="71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</row>
    <row r="229" spans="1:46" ht="18.75" x14ac:dyDescent="0.25">
      <c r="A229" s="39"/>
      <c r="B229" s="39"/>
      <c r="C229" s="113">
        <f t="shared" si="86"/>
        <v>-3.5000000000000001E-3</v>
      </c>
      <c r="D229" s="94">
        <f t="shared" si="92"/>
        <v>1.9574999999999974E-2</v>
      </c>
      <c r="E229" s="94">
        <f t="shared" si="93"/>
        <v>-1.9522865853658553E-3</v>
      </c>
      <c r="F229" s="93" t="s">
        <v>107</v>
      </c>
      <c r="G229" s="95">
        <f t="shared" si="87"/>
        <v>99.501625135428057</v>
      </c>
      <c r="H229" s="115">
        <f t="shared" si="88"/>
        <v>47.033333333333289</v>
      </c>
      <c r="I229" s="115">
        <f t="shared" si="89"/>
        <v>96.141666666666509</v>
      </c>
      <c r="J229" s="115">
        <f t="shared" si="70"/>
        <v>0.80952380952380887</v>
      </c>
      <c r="K229" s="115">
        <f t="shared" si="71"/>
        <v>0.41596638655462226</v>
      </c>
      <c r="L229" s="96">
        <f t="shared" si="78"/>
        <v>-737591.31866890797</v>
      </c>
      <c r="M229" s="116">
        <f t="shared" si="90"/>
        <v>-454618.18707114481</v>
      </c>
      <c r="N229" s="96">
        <f t="shared" si="79"/>
        <v>737591.31866890797</v>
      </c>
      <c r="O229" s="96">
        <f t="shared" si="85"/>
        <v>-454618.18707114481</v>
      </c>
      <c r="P229" s="116">
        <f t="shared" si="91"/>
        <v>624159927.68750095</v>
      </c>
      <c r="Q229" s="97">
        <f t="shared" si="80"/>
        <v>0.12278801011195381</v>
      </c>
      <c r="R229" s="97">
        <f t="shared" si="81"/>
        <v>0.21843394256944204</v>
      </c>
      <c r="S229" s="71">
        <f t="shared" si="82"/>
        <v>-0.21843394256944204</v>
      </c>
      <c r="T229" s="98">
        <f t="shared" si="72"/>
        <v>-1372.9321559012419</v>
      </c>
      <c r="U229" s="99">
        <f t="shared" si="73"/>
        <v>-2.0928843839957958</v>
      </c>
      <c r="V229" s="93" t="str">
        <f t="shared" si="83"/>
        <v>NO</v>
      </c>
      <c r="W229" s="95">
        <f t="shared" si="74"/>
        <v>454.6181870711448</v>
      </c>
      <c r="X229" s="95">
        <f t="shared" si="75"/>
        <v>624.15992768750095</v>
      </c>
      <c r="Y229" s="95">
        <f t="shared" si="76"/>
        <v>-624.15992768750095</v>
      </c>
      <c r="Z229" s="95">
        <f t="shared" si="77"/>
        <v>0</v>
      </c>
      <c r="AA229" s="93" t="str">
        <f t="shared" si="84"/>
        <v>ROTTURA BILANCIATA</v>
      </c>
      <c r="AB229" s="100"/>
      <c r="AC229" s="71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</row>
    <row r="230" spans="1:46" ht="18.75" x14ac:dyDescent="0.25">
      <c r="A230" s="39"/>
      <c r="B230" s="39"/>
      <c r="C230" s="113">
        <f t="shared" si="86"/>
        <v>-3.5000000000000001E-3</v>
      </c>
      <c r="D230" s="94">
        <f t="shared" si="92"/>
        <v>1.8899999999999976E-2</v>
      </c>
      <c r="E230" s="94">
        <f t="shared" si="93"/>
        <v>-1.9975609756097577E-3</v>
      </c>
      <c r="F230" s="93" t="s">
        <v>107</v>
      </c>
      <c r="G230" s="95">
        <f t="shared" si="87"/>
        <v>102.50000000000011</v>
      </c>
      <c r="H230" s="115">
        <f t="shared" si="88"/>
        <v>47.033333333333289</v>
      </c>
      <c r="I230" s="115">
        <f t="shared" si="89"/>
        <v>96.141666666666509</v>
      </c>
      <c r="J230" s="115">
        <f t="shared" si="70"/>
        <v>0.80952380952380887</v>
      </c>
      <c r="K230" s="115">
        <f t="shared" si="71"/>
        <v>0.41596638655462226</v>
      </c>
      <c r="L230" s="96">
        <f t="shared" si="78"/>
        <v>-737591.31866890797</v>
      </c>
      <c r="M230" s="116">
        <f t="shared" si="90"/>
        <v>-468317.61904761905</v>
      </c>
      <c r="N230" s="96">
        <f t="shared" si="79"/>
        <v>737591.31866890797</v>
      </c>
      <c r="O230" s="96">
        <f t="shared" si="85"/>
        <v>-468317.61904761894</v>
      </c>
      <c r="P230" s="116">
        <f t="shared" si="91"/>
        <v>627803621.96857238</v>
      </c>
      <c r="Q230" s="97">
        <f t="shared" si="80"/>
        <v>0.12648809523809523</v>
      </c>
      <c r="R230" s="97">
        <f t="shared" si="81"/>
        <v>0.219709106949637</v>
      </c>
      <c r="S230" s="71">
        <f t="shared" si="82"/>
        <v>-0.219709106949637</v>
      </c>
      <c r="T230" s="98">
        <f t="shared" si="72"/>
        <v>-1340.5509347380262</v>
      </c>
      <c r="U230" s="99">
        <f t="shared" si="73"/>
        <v>-2.0435227663689424</v>
      </c>
      <c r="V230" s="93" t="str">
        <f t="shared" si="83"/>
        <v>NO</v>
      </c>
      <c r="W230" s="95">
        <f t="shared" si="74"/>
        <v>468.31761904761896</v>
      </c>
      <c r="X230" s="95">
        <f t="shared" si="75"/>
        <v>627.80362196857243</v>
      </c>
      <c r="Y230" s="95">
        <f t="shared" si="76"/>
        <v>-627.80362196857243</v>
      </c>
      <c r="Z230" s="95">
        <f t="shared" si="77"/>
        <v>0</v>
      </c>
      <c r="AA230" s="93" t="str">
        <f t="shared" si="84"/>
        <v>ROTTURA BILANCIATA</v>
      </c>
      <c r="AB230" s="100"/>
      <c r="AC230" s="71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</row>
    <row r="231" spans="1:46" ht="18.75" x14ac:dyDescent="0.25">
      <c r="A231" s="39"/>
      <c r="B231" s="39"/>
      <c r="C231" s="113">
        <f t="shared" si="86"/>
        <v>-3.5000000000000001E-3</v>
      </c>
      <c r="D231" s="94">
        <f t="shared" si="92"/>
        <v>1.8224999999999977E-2</v>
      </c>
      <c r="E231" s="94">
        <f t="shared" si="93"/>
        <v>-2.0428353658536601E-3</v>
      </c>
      <c r="F231" s="93" t="s">
        <v>107</v>
      </c>
      <c r="G231" s="95">
        <f t="shared" si="87"/>
        <v>105.68469505178378</v>
      </c>
      <c r="H231" s="115">
        <f t="shared" si="88"/>
        <v>47.033333333333289</v>
      </c>
      <c r="I231" s="115">
        <f t="shared" si="89"/>
        <v>96.141666666666509</v>
      </c>
      <c r="J231" s="115">
        <f t="shared" si="70"/>
        <v>0.80952380952380887</v>
      </c>
      <c r="K231" s="115">
        <f t="shared" si="71"/>
        <v>0.41596638655462226</v>
      </c>
      <c r="L231" s="96">
        <f t="shared" si="78"/>
        <v>-737591.31866890797</v>
      </c>
      <c r="M231" s="116">
        <f t="shared" si="90"/>
        <v>-482868.33908707328</v>
      </c>
      <c r="N231" s="96">
        <f t="shared" si="79"/>
        <v>737591.31866890797</v>
      </c>
      <c r="O231" s="96">
        <f t="shared" si="85"/>
        <v>-482868.33908707323</v>
      </c>
      <c r="P231" s="116">
        <f t="shared" si="91"/>
        <v>631636313.12437475</v>
      </c>
      <c r="Q231" s="97">
        <f t="shared" si="80"/>
        <v>0.13041810510164942</v>
      </c>
      <c r="R231" s="97">
        <f t="shared" si="81"/>
        <v>0.22105041356461741</v>
      </c>
      <c r="S231" s="71">
        <f t="shared" si="82"/>
        <v>-0.22105041356461741</v>
      </c>
      <c r="T231" s="98">
        <f t="shared" si="72"/>
        <v>-1308.0922106397929</v>
      </c>
      <c r="U231" s="99">
        <f t="shared" si="73"/>
        <v>-1.9940430040240746</v>
      </c>
      <c r="V231" s="93" t="str">
        <f t="shared" si="83"/>
        <v>NO</v>
      </c>
      <c r="W231" s="95">
        <f t="shared" si="74"/>
        <v>482.86833908707325</v>
      </c>
      <c r="X231" s="95">
        <f t="shared" si="75"/>
        <v>631.63631312437474</v>
      </c>
      <c r="Y231" s="95">
        <f t="shared" si="76"/>
        <v>-631.63631312437474</v>
      </c>
      <c r="Z231" s="95">
        <f t="shared" si="77"/>
        <v>0</v>
      </c>
      <c r="AA231" s="93" t="str">
        <f t="shared" si="84"/>
        <v>ROTTURA BILANCIATA</v>
      </c>
      <c r="AB231" s="100"/>
      <c r="AC231" s="71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</row>
    <row r="232" spans="1:46" ht="18.75" x14ac:dyDescent="0.25">
      <c r="A232" s="39"/>
      <c r="B232" s="39"/>
      <c r="C232" s="113">
        <f t="shared" si="86"/>
        <v>-3.5000000000000001E-3</v>
      </c>
      <c r="D232" s="94">
        <f t="shared" si="92"/>
        <v>1.7549999999999979E-2</v>
      </c>
      <c r="E232" s="94">
        <f t="shared" si="93"/>
        <v>-2.0881097560975625E-3</v>
      </c>
      <c r="F232" s="93" t="s">
        <v>107</v>
      </c>
      <c r="G232" s="95">
        <f t="shared" si="87"/>
        <v>109.07363420427565</v>
      </c>
      <c r="H232" s="115">
        <f t="shared" si="88"/>
        <v>47.033333333333289</v>
      </c>
      <c r="I232" s="115">
        <f t="shared" si="89"/>
        <v>96.141666666666509</v>
      </c>
      <c r="J232" s="115">
        <f t="shared" si="70"/>
        <v>0.80952380952380887</v>
      </c>
      <c r="K232" s="115">
        <f t="shared" si="71"/>
        <v>0.41596638655462226</v>
      </c>
      <c r="L232" s="96">
        <f t="shared" si="78"/>
        <v>-737591.31866890797</v>
      </c>
      <c r="M232" s="116">
        <f t="shared" si="90"/>
        <v>-498352.24069675378</v>
      </c>
      <c r="N232" s="96">
        <f t="shared" si="79"/>
        <v>737591.31866890797</v>
      </c>
      <c r="O232" s="96">
        <f t="shared" si="85"/>
        <v>-498352.24069675384</v>
      </c>
      <c r="P232" s="116">
        <f t="shared" si="91"/>
        <v>635672466.97698152</v>
      </c>
      <c r="Q232" s="97">
        <f t="shared" si="80"/>
        <v>0.13460015835312752</v>
      </c>
      <c r="R232" s="97">
        <f t="shared" si="81"/>
        <v>0.22246292494148226</v>
      </c>
      <c r="S232" s="71">
        <f t="shared" si="82"/>
        <v>-0.22246292494148226</v>
      </c>
      <c r="T232" s="98">
        <f t="shared" si="72"/>
        <v>-1275.5485278610129</v>
      </c>
      <c r="U232" s="99">
        <f t="shared" si="73"/>
        <v>-1.9444337314954465</v>
      </c>
      <c r="V232" s="93" t="str">
        <f t="shared" si="83"/>
        <v>NO</v>
      </c>
      <c r="W232" s="95">
        <f t="shared" si="74"/>
        <v>498.35224069675382</v>
      </c>
      <c r="X232" s="95">
        <f t="shared" si="75"/>
        <v>635.67246697698147</v>
      </c>
      <c r="Y232" s="95">
        <f t="shared" si="76"/>
        <v>-635.67246697698147</v>
      </c>
      <c r="Z232" s="95">
        <f t="shared" si="77"/>
        <v>0</v>
      </c>
      <c r="AA232" s="93" t="str">
        <f t="shared" si="84"/>
        <v>ROTTURA BILANCIATA</v>
      </c>
      <c r="AB232" s="100"/>
      <c r="AC232" s="71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</row>
    <row r="233" spans="1:46" ht="18.75" x14ac:dyDescent="0.25">
      <c r="A233" s="39"/>
      <c r="B233" s="39"/>
      <c r="C233" s="113">
        <f t="shared" si="86"/>
        <v>-3.5000000000000001E-3</v>
      </c>
      <c r="D233" s="94">
        <f t="shared" si="92"/>
        <v>1.687499999999998E-2</v>
      </c>
      <c r="E233" s="94">
        <f t="shared" si="93"/>
        <v>-2.1333841463414649E-3</v>
      </c>
      <c r="F233" s="93" t="s">
        <v>107</v>
      </c>
      <c r="G233" s="95">
        <f t="shared" si="87"/>
        <v>112.68711656441729</v>
      </c>
      <c r="H233" s="115">
        <f t="shared" si="88"/>
        <v>47.033333333333289</v>
      </c>
      <c r="I233" s="115">
        <f t="shared" si="89"/>
        <v>96.141666666666509</v>
      </c>
      <c r="J233" s="115">
        <f t="shared" si="70"/>
        <v>0.80952380952380887</v>
      </c>
      <c r="K233" s="115">
        <f t="shared" si="71"/>
        <v>0.41596638655462226</v>
      </c>
      <c r="L233" s="96">
        <f t="shared" si="78"/>
        <v>-737591.31866890797</v>
      </c>
      <c r="M233" s="116">
        <f t="shared" si="90"/>
        <v>-514862.06952965236</v>
      </c>
      <c r="N233" s="96">
        <f t="shared" si="79"/>
        <v>737591.31866890797</v>
      </c>
      <c r="O233" s="96">
        <f t="shared" si="85"/>
        <v>-514862.06952965236</v>
      </c>
      <c r="P233" s="116">
        <f t="shared" si="91"/>
        <v>639927957.60770798</v>
      </c>
      <c r="Q233" s="97">
        <f t="shared" si="80"/>
        <v>0.13905930470347652</v>
      </c>
      <c r="R233" s="97">
        <f t="shared" si="81"/>
        <v>0.22395219644835526</v>
      </c>
      <c r="S233" s="71">
        <f t="shared" si="82"/>
        <v>-0.22395219644835526</v>
      </c>
      <c r="T233" s="98">
        <f t="shared" si="72"/>
        <v>-1242.9114426555223</v>
      </c>
      <c r="U233" s="99">
        <f t="shared" si="73"/>
        <v>-1.894682077218784</v>
      </c>
      <c r="V233" s="93" t="str">
        <f t="shared" si="83"/>
        <v>NO</v>
      </c>
      <c r="W233" s="95">
        <f t="shared" si="74"/>
        <v>514.86206952965233</v>
      </c>
      <c r="X233" s="95">
        <f t="shared" si="75"/>
        <v>639.92795760770798</v>
      </c>
      <c r="Y233" s="95">
        <f t="shared" si="76"/>
        <v>-639.92795760770798</v>
      </c>
      <c r="Z233" s="95">
        <f t="shared" si="77"/>
        <v>0</v>
      </c>
      <c r="AA233" s="93" t="str">
        <f t="shared" si="84"/>
        <v>ROTTURA BILANCIATA</v>
      </c>
      <c r="AB233" s="100"/>
      <c r="AC233" s="71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</row>
    <row r="234" spans="1:46" ht="18.75" x14ac:dyDescent="0.25">
      <c r="A234" s="39"/>
      <c r="B234" s="39"/>
      <c r="C234" s="113">
        <f t="shared" si="86"/>
        <v>-3.5000000000000001E-3</v>
      </c>
      <c r="D234" s="94">
        <f t="shared" si="92"/>
        <v>1.6199999999999982E-2</v>
      </c>
      <c r="E234" s="94">
        <f t="shared" si="93"/>
        <v>-2.1786585365853673E-3</v>
      </c>
      <c r="F234" s="93" t="s">
        <v>107</v>
      </c>
      <c r="G234" s="95">
        <f t="shared" si="87"/>
        <v>116.54822335025392</v>
      </c>
      <c r="H234" s="115">
        <f t="shared" si="88"/>
        <v>47.033333333333289</v>
      </c>
      <c r="I234" s="115">
        <f t="shared" si="89"/>
        <v>96.141666666666509</v>
      </c>
      <c r="J234" s="115">
        <f t="shared" si="70"/>
        <v>0.80952380952380887</v>
      </c>
      <c r="K234" s="115">
        <f t="shared" si="71"/>
        <v>0.41596638655462226</v>
      </c>
      <c r="L234" s="96">
        <f t="shared" si="78"/>
        <v>-737591.31866890797</v>
      </c>
      <c r="M234" s="116">
        <f t="shared" si="90"/>
        <v>-532503.28257191193</v>
      </c>
      <c r="N234" s="96">
        <f t="shared" si="79"/>
        <v>737591.31866890797</v>
      </c>
      <c r="O234" s="96">
        <f t="shared" si="85"/>
        <v>-532503.28257191181</v>
      </c>
      <c r="P234" s="116">
        <f t="shared" si="91"/>
        <v>644420218.48612607</v>
      </c>
      <c r="Q234" s="97">
        <f t="shared" si="80"/>
        <v>0.14382402707275802</v>
      </c>
      <c r="R234" s="97">
        <f t="shared" si="81"/>
        <v>0.22552432918420531</v>
      </c>
      <c r="S234" s="71">
        <f t="shared" si="82"/>
        <v>-0.22552432918420531</v>
      </c>
      <c r="T234" s="98">
        <f t="shared" si="72"/>
        <v>-1210.1713540124524</v>
      </c>
      <c r="U234" s="99">
        <f t="shared" si="73"/>
        <v>-1.8447734055067873</v>
      </c>
      <c r="V234" s="93" t="str">
        <f t="shared" si="83"/>
        <v>NO</v>
      </c>
      <c r="W234" s="95">
        <f t="shared" si="74"/>
        <v>532.50328257191177</v>
      </c>
      <c r="X234" s="95">
        <f t="shared" si="75"/>
        <v>644.42021848612603</v>
      </c>
      <c r="Y234" s="95">
        <f t="shared" si="76"/>
        <v>-644.42021848612603</v>
      </c>
      <c r="Z234" s="95">
        <f t="shared" si="77"/>
        <v>0</v>
      </c>
      <c r="AA234" s="93" t="str">
        <f t="shared" si="84"/>
        <v>ROTTURA BILANCIATA</v>
      </c>
      <c r="AB234" s="100"/>
      <c r="AC234" s="71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</row>
    <row r="235" spans="1:46" ht="18.75" x14ac:dyDescent="0.25">
      <c r="A235" s="39"/>
      <c r="B235" s="39"/>
      <c r="C235" s="113">
        <f t="shared" si="86"/>
        <v>-3.5000000000000001E-3</v>
      </c>
      <c r="D235" s="94">
        <f t="shared" si="92"/>
        <v>1.5524999999999982E-2</v>
      </c>
      <c r="E235" s="94">
        <f t="shared" si="93"/>
        <v>-2.2239329268292692E-3</v>
      </c>
      <c r="F235" s="93" t="s">
        <v>107</v>
      </c>
      <c r="G235" s="95">
        <f t="shared" si="87"/>
        <v>120.68331143232599</v>
      </c>
      <c r="H235" s="115">
        <f t="shared" si="88"/>
        <v>47.033333333333289</v>
      </c>
      <c r="I235" s="115">
        <f t="shared" si="89"/>
        <v>96.141666666666509</v>
      </c>
      <c r="J235" s="115">
        <f t="shared" si="70"/>
        <v>0.80952380952380887</v>
      </c>
      <c r="K235" s="115">
        <f t="shared" si="71"/>
        <v>0.41596638655462226</v>
      </c>
      <c r="L235" s="96">
        <f t="shared" si="78"/>
        <v>-737591.31866890797</v>
      </c>
      <c r="M235" s="116">
        <f t="shared" si="90"/>
        <v>-551396.30310994294</v>
      </c>
      <c r="N235" s="96">
        <f t="shared" si="79"/>
        <v>737591.31866890797</v>
      </c>
      <c r="O235" s="96">
        <f t="shared" si="85"/>
        <v>-551396.30310994294</v>
      </c>
      <c r="P235" s="116">
        <f t="shared" si="91"/>
        <v>649168405.90287113</v>
      </c>
      <c r="Q235" s="97">
        <f t="shared" si="80"/>
        <v>0.14892685063512923</v>
      </c>
      <c r="R235" s="97">
        <f t="shared" si="81"/>
        <v>0.22718602717455999</v>
      </c>
      <c r="S235" s="71">
        <f t="shared" si="82"/>
        <v>-0.22718602717455999</v>
      </c>
      <c r="T235" s="98">
        <f t="shared" si="72"/>
        <v>-1177.3172983596037</v>
      </c>
      <c r="U235" s="99">
        <f t="shared" si="73"/>
        <v>-1.7946910035969568</v>
      </c>
      <c r="V235" s="93" t="str">
        <f t="shared" si="83"/>
        <v>NO</v>
      </c>
      <c r="W235" s="95">
        <f t="shared" si="74"/>
        <v>551.39630310994289</v>
      </c>
      <c r="X235" s="95">
        <f t="shared" si="75"/>
        <v>649.16840590287109</v>
      </c>
      <c r="Y235" s="95">
        <f t="shared" si="76"/>
        <v>-649.16840590287109</v>
      </c>
      <c r="Z235" s="95">
        <f t="shared" si="77"/>
        <v>0</v>
      </c>
      <c r="AA235" s="93" t="str">
        <f t="shared" si="84"/>
        <v>ROTTURA BILANCIATA</v>
      </c>
      <c r="AB235" s="100"/>
      <c r="AC235" s="71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</row>
    <row r="236" spans="1:46" ht="18.75" x14ac:dyDescent="0.25">
      <c r="A236" s="39"/>
      <c r="B236" s="39"/>
      <c r="C236" s="113">
        <f t="shared" si="86"/>
        <v>-3.5000000000000001E-3</v>
      </c>
      <c r="D236" s="94">
        <f t="shared" si="92"/>
        <v>1.4849999999999981E-2</v>
      </c>
      <c r="E236" s="94">
        <f t="shared" si="93"/>
        <v>-2.2692073170731721E-3</v>
      </c>
      <c r="F236" s="93" t="s">
        <v>107</v>
      </c>
      <c r="G236" s="95">
        <f t="shared" si="87"/>
        <v>125.12261580381485</v>
      </c>
      <c r="H236" s="115">
        <f t="shared" si="88"/>
        <v>47.033333333333289</v>
      </c>
      <c r="I236" s="115">
        <f t="shared" si="89"/>
        <v>96.141666666666509</v>
      </c>
      <c r="J236" s="115">
        <f t="shared" si="70"/>
        <v>0.80952380952380887</v>
      </c>
      <c r="K236" s="115">
        <f t="shared" si="71"/>
        <v>0.41596638655462226</v>
      </c>
      <c r="L236" s="96">
        <f t="shared" si="78"/>
        <v>-737591.31866890797</v>
      </c>
      <c r="M236" s="116">
        <f t="shared" si="90"/>
        <v>-571679.27338782931</v>
      </c>
      <c r="N236" s="96">
        <f t="shared" si="79"/>
        <v>737591.31866890797</v>
      </c>
      <c r="O236" s="96">
        <f t="shared" si="85"/>
        <v>-571679.27338782931</v>
      </c>
      <c r="P236" s="116">
        <f t="shared" si="91"/>
        <v>654193572.57025886</v>
      </c>
      <c r="Q236" s="97">
        <f t="shared" si="80"/>
        <v>0.15440508628519534</v>
      </c>
      <c r="R236" s="97">
        <f t="shared" si="81"/>
        <v>0.22894465812559345</v>
      </c>
      <c r="S236" s="71">
        <f t="shared" si="82"/>
        <v>-0.22894465812559345</v>
      </c>
      <c r="T236" s="98">
        <f t="shared" si="72"/>
        <v>-1144.3366989561148</v>
      </c>
      <c r="U236" s="99">
        <f t="shared" si="73"/>
        <v>-1.7444156996282238</v>
      </c>
      <c r="V236" s="93" t="str">
        <f t="shared" si="83"/>
        <v>NO</v>
      </c>
      <c r="W236" s="95">
        <f t="shared" si="74"/>
        <v>571.67927338782931</v>
      </c>
      <c r="X236" s="95">
        <f t="shared" si="75"/>
        <v>654.19357257025888</v>
      </c>
      <c r="Y236" s="95">
        <f t="shared" si="76"/>
        <v>-654.19357257025888</v>
      </c>
      <c r="Z236" s="95">
        <f t="shared" si="77"/>
        <v>0</v>
      </c>
      <c r="AA236" s="93" t="str">
        <f t="shared" si="84"/>
        <v>ROTTURA BILANCIATA</v>
      </c>
      <c r="AB236" s="100"/>
      <c r="AC236" s="71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</row>
    <row r="237" spans="1:46" ht="18.75" x14ac:dyDescent="0.25">
      <c r="A237" s="39"/>
      <c r="B237" s="39"/>
      <c r="C237" s="113">
        <f t="shared" si="86"/>
        <v>-3.5000000000000001E-3</v>
      </c>
      <c r="D237" s="94">
        <f t="shared" si="92"/>
        <v>1.4174999999999981E-2</v>
      </c>
      <c r="E237" s="94">
        <f t="shared" si="93"/>
        <v>-2.3144817073170744E-3</v>
      </c>
      <c r="F237" s="93" t="s">
        <v>107</v>
      </c>
      <c r="G237" s="95">
        <f t="shared" si="87"/>
        <v>129.90099009901004</v>
      </c>
      <c r="H237" s="115">
        <f t="shared" si="88"/>
        <v>47.033333333333289</v>
      </c>
      <c r="I237" s="115">
        <f t="shared" si="89"/>
        <v>96.141666666666509</v>
      </c>
      <c r="J237" s="115">
        <f t="shared" si="70"/>
        <v>0.80952380952380887</v>
      </c>
      <c r="K237" s="115">
        <f t="shared" si="71"/>
        <v>0.41596638655462226</v>
      </c>
      <c r="L237" s="96">
        <f t="shared" si="78"/>
        <v>-737591.31866890797</v>
      </c>
      <c r="M237" s="116">
        <f t="shared" si="90"/>
        <v>-593511.43800094305</v>
      </c>
      <c r="N237" s="96">
        <f t="shared" si="79"/>
        <v>737591.31866890797</v>
      </c>
      <c r="O237" s="96">
        <f t="shared" si="85"/>
        <v>-593511.43800094305</v>
      </c>
      <c r="P237" s="116">
        <f t="shared" si="91"/>
        <v>659518846.91978264</v>
      </c>
      <c r="Q237" s="97">
        <f t="shared" si="80"/>
        <v>0.16030174446016038</v>
      </c>
      <c r="R237" s="97">
        <f t="shared" si="81"/>
        <v>0.2308083161719216</v>
      </c>
      <c r="S237" s="71">
        <f t="shared" si="82"/>
        <v>-0.2308083161719216</v>
      </c>
      <c r="T237" s="98">
        <f t="shared" si="72"/>
        <v>-1111.2150578616729</v>
      </c>
      <c r="U237" s="99">
        <f t="shared" si="73"/>
        <v>-1.6939253930818186</v>
      </c>
      <c r="V237" s="93" t="str">
        <f t="shared" si="83"/>
        <v>NO</v>
      </c>
      <c r="W237" s="95">
        <f t="shared" si="74"/>
        <v>593.51143800094303</v>
      </c>
      <c r="X237" s="95">
        <f t="shared" si="75"/>
        <v>659.51884691978262</v>
      </c>
      <c r="Y237" s="95">
        <f t="shared" si="76"/>
        <v>-659.51884691978262</v>
      </c>
      <c r="Z237" s="95">
        <f t="shared" si="77"/>
        <v>0</v>
      </c>
      <c r="AA237" s="93" t="str">
        <f t="shared" si="84"/>
        <v>ROTTURA BILANCIATA</v>
      </c>
      <c r="AB237" s="100"/>
      <c r="AC237" s="71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</row>
    <row r="238" spans="1:46" ht="18.75" x14ac:dyDescent="0.25">
      <c r="A238" s="39"/>
      <c r="B238" s="39"/>
      <c r="C238" s="113">
        <f t="shared" si="86"/>
        <v>-3.5000000000000001E-3</v>
      </c>
      <c r="D238" s="94">
        <f t="shared" si="92"/>
        <v>1.3499999999999981E-2</v>
      </c>
      <c r="E238" s="94">
        <f t="shared" si="93"/>
        <v>-2.3597560975609764E-3</v>
      </c>
      <c r="F238" s="93" t="s">
        <v>107</v>
      </c>
      <c r="G238" s="95">
        <f t="shared" si="87"/>
        <v>135.05882352941191</v>
      </c>
      <c r="H238" s="115">
        <f t="shared" si="88"/>
        <v>47.033333333333289</v>
      </c>
      <c r="I238" s="115">
        <f t="shared" si="89"/>
        <v>96.141666666666509</v>
      </c>
      <c r="J238" s="115">
        <f t="shared" si="70"/>
        <v>0.80952380952380887</v>
      </c>
      <c r="K238" s="115">
        <f t="shared" si="71"/>
        <v>0.41596638655462226</v>
      </c>
      <c r="L238" s="96">
        <f t="shared" si="78"/>
        <v>-737591.31866890797</v>
      </c>
      <c r="M238" s="116">
        <f t="shared" si="90"/>
        <v>-617077.33333333337</v>
      </c>
      <c r="N238" s="96">
        <f t="shared" si="79"/>
        <v>737591.31866890797</v>
      </c>
      <c r="O238" s="96">
        <f t="shared" si="85"/>
        <v>-617077.33333333349</v>
      </c>
      <c r="P238" s="116">
        <f t="shared" si="91"/>
        <v>665169609.83111727</v>
      </c>
      <c r="Q238" s="97">
        <f t="shared" si="80"/>
        <v>0.16666666666666674</v>
      </c>
      <c r="R238" s="97">
        <f t="shared" si="81"/>
        <v>0.23278588372551498</v>
      </c>
      <c r="S238" s="71">
        <f t="shared" si="82"/>
        <v>-0.23278588372551498</v>
      </c>
      <c r="T238" s="98">
        <f t="shared" si="72"/>
        <v>-1077.9355745219136</v>
      </c>
      <c r="U238" s="99">
        <f t="shared" si="73"/>
        <v>-1.6431944733565755</v>
      </c>
      <c r="V238" s="93" t="str">
        <f t="shared" si="83"/>
        <v>NO</v>
      </c>
      <c r="W238" s="95">
        <f t="shared" si="74"/>
        <v>617.07733333333351</v>
      </c>
      <c r="X238" s="95">
        <f t="shared" si="75"/>
        <v>665.16960983111733</v>
      </c>
      <c r="Y238" s="95">
        <f t="shared" si="76"/>
        <v>-665.16960983111733</v>
      </c>
      <c r="Z238" s="95">
        <f t="shared" si="77"/>
        <v>0</v>
      </c>
      <c r="AA238" s="93" t="str">
        <f t="shared" si="84"/>
        <v>ROTTURA BILANCIATA</v>
      </c>
      <c r="AB238" s="100"/>
      <c r="AC238" s="71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</row>
    <row r="239" spans="1:46" ht="18.75" x14ac:dyDescent="0.25">
      <c r="A239" s="39"/>
      <c r="B239" s="39"/>
      <c r="C239" s="113">
        <f t="shared" si="86"/>
        <v>-3.5000000000000001E-3</v>
      </c>
      <c r="D239" s="94">
        <f t="shared" si="92"/>
        <v>1.2824999999999981E-2</v>
      </c>
      <c r="E239" s="94">
        <f t="shared" si="93"/>
        <v>-2.4050304878048792E-3</v>
      </c>
      <c r="F239" s="93" t="s">
        <v>107</v>
      </c>
      <c r="G239" s="95">
        <f t="shared" si="87"/>
        <v>140.64318529862192</v>
      </c>
      <c r="H239" s="115">
        <f t="shared" si="88"/>
        <v>47.033333333333289</v>
      </c>
      <c r="I239" s="115">
        <f t="shared" si="89"/>
        <v>96.141666666666509</v>
      </c>
      <c r="J239" s="115">
        <f t="shared" si="70"/>
        <v>0.80952380952380887</v>
      </c>
      <c r="K239" s="115">
        <f t="shared" si="71"/>
        <v>0.41596638655462226</v>
      </c>
      <c r="L239" s="96">
        <f t="shared" si="78"/>
        <v>-737591.31866890797</v>
      </c>
      <c r="M239" s="116">
        <f t="shared" si="90"/>
        <v>-642592.01633486478</v>
      </c>
      <c r="N239" s="96">
        <f t="shared" si="79"/>
        <v>737591.31866890797</v>
      </c>
      <c r="O239" s="96">
        <f t="shared" si="85"/>
        <v>-642592.01633486478</v>
      </c>
      <c r="P239" s="116">
        <f t="shared" si="91"/>
        <v>671173654.40074933</v>
      </c>
      <c r="Q239" s="97">
        <f t="shared" si="80"/>
        <v>0.17355793772332828</v>
      </c>
      <c r="R239" s="97">
        <f t="shared" si="81"/>
        <v>0.2348870873890799</v>
      </c>
      <c r="S239" s="71">
        <f t="shared" si="82"/>
        <v>-0.2348870873890799</v>
      </c>
      <c r="T239" s="98">
        <f t="shared" si="72"/>
        <v>-1044.4786697302977</v>
      </c>
      <c r="U239" s="99">
        <f t="shared" si="73"/>
        <v>-1.5921930941010636</v>
      </c>
      <c r="V239" s="93" t="str">
        <f t="shared" si="83"/>
        <v>NO</v>
      </c>
      <c r="W239" s="95">
        <f t="shared" si="74"/>
        <v>642.59201633486475</v>
      </c>
      <c r="X239" s="95">
        <f t="shared" si="75"/>
        <v>671.17365440074934</v>
      </c>
      <c r="Y239" s="95">
        <f t="shared" si="76"/>
        <v>-671.17365440074934</v>
      </c>
      <c r="Z239" s="95">
        <f t="shared" si="77"/>
        <v>0</v>
      </c>
      <c r="AA239" s="93" t="str">
        <f t="shared" si="84"/>
        <v>ROTTURA BILANCIATA</v>
      </c>
      <c r="AB239" s="100"/>
      <c r="AC239" s="71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</row>
    <row r="240" spans="1:46" ht="18.75" x14ac:dyDescent="0.25">
      <c r="A240" s="39"/>
      <c r="B240" s="39"/>
      <c r="C240" s="113">
        <f t="shared" si="86"/>
        <v>-3.5000000000000001E-3</v>
      </c>
      <c r="D240" s="94">
        <f t="shared" si="92"/>
        <v>1.214999999999998E-2</v>
      </c>
      <c r="E240" s="94">
        <f t="shared" si="93"/>
        <v>-2.4503048780487821E-3</v>
      </c>
      <c r="F240" s="93" t="s">
        <v>107</v>
      </c>
      <c r="G240" s="95">
        <f t="shared" si="87"/>
        <v>146.70926517571905</v>
      </c>
      <c r="H240" s="115">
        <f t="shared" si="88"/>
        <v>47.033333333333289</v>
      </c>
      <c r="I240" s="115">
        <f t="shared" si="89"/>
        <v>96.141666666666509</v>
      </c>
      <c r="J240" s="115">
        <f t="shared" si="70"/>
        <v>0.80952380952380887</v>
      </c>
      <c r="K240" s="115">
        <f t="shared" si="71"/>
        <v>0.41596638655462226</v>
      </c>
      <c r="L240" s="96">
        <f t="shared" si="78"/>
        <v>-737591.31866890797</v>
      </c>
      <c r="M240" s="116">
        <f t="shared" si="90"/>
        <v>-670307.64643237507</v>
      </c>
      <c r="N240" s="96">
        <f t="shared" si="79"/>
        <v>737591.31866890797</v>
      </c>
      <c r="O240" s="96">
        <f t="shared" si="85"/>
        <v>-670307.64643237507</v>
      </c>
      <c r="P240" s="116">
        <f t="shared" si="91"/>
        <v>677561304.4799577</v>
      </c>
      <c r="Q240" s="97">
        <f t="shared" si="80"/>
        <v>0.18104366347177858</v>
      </c>
      <c r="R240" s="97">
        <f t="shared" si="81"/>
        <v>0.23712253944016715</v>
      </c>
      <c r="S240" s="71">
        <f t="shared" si="82"/>
        <v>-0.23712253944016715</v>
      </c>
      <c r="T240" s="98">
        <f t="shared" si="72"/>
        <v>-1010.8213863980059</v>
      </c>
      <c r="U240" s="99">
        <f t="shared" si="73"/>
        <v>-1.5408862597530577</v>
      </c>
      <c r="V240" s="93" t="str">
        <f t="shared" si="83"/>
        <v>NO</v>
      </c>
      <c r="W240" s="95">
        <f t="shared" si="74"/>
        <v>670.30764643237512</v>
      </c>
      <c r="X240" s="95">
        <f t="shared" si="75"/>
        <v>677.5613044799577</v>
      </c>
      <c r="Y240" s="95">
        <f t="shared" si="76"/>
        <v>-677.5613044799577</v>
      </c>
      <c r="Z240" s="95">
        <f t="shared" si="77"/>
        <v>0</v>
      </c>
      <c r="AA240" s="93" t="str">
        <f t="shared" si="84"/>
        <v>ROTTURA BILANCIATA</v>
      </c>
      <c r="AB240" s="100"/>
      <c r="AC240" s="71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</row>
    <row r="241" spans="1:46" ht="18.75" x14ac:dyDescent="0.25">
      <c r="A241" s="39"/>
      <c r="B241" s="39"/>
      <c r="C241" s="113">
        <f t="shared" si="86"/>
        <v>-3.5000000000000001E-3</v>
      </c>
      <c r="D241" s="94">
        <f t="shared" si="92"/>
        <v>1.147499999999998E-2</v>
      </c>
      <c r="E241" s="94">
        <f t="shared" si="93"/>
        <v>-2.4955792682926844E-3</v>
      </c>
      <c r="F241" s="93" t="s">
        <v>107</v>
      </c>
      <c r="G241" s="95">
        <f t="shared" si="87"/>
        <v>153.32220367278819</v>
      </c>
      <c r="H241" s="115">
        <f t="shared" si="88"/>
        <v>47.033333333333289</v>
      </c>
      <c r="I241" s="115">
        <f t="shared" si="89"/>
        <v>96.141666666666509</v>
      </c>
      <c r="J241" s="115">
        <f t="shared" si="70"/>
        <v>0.80952380952380887</v>
      </c>
      <c r="K241" s="115">
        <f t="shared" si="71"/>
        <v>0.41596638655462226</v>
      </c>
      <c r="L241" s="96">
        <f t="shared" si="78"/>
        <v>-737591.31866890797</v>
      </c>
      <c r="M241" s="116">
        <f t="shared" si="90"/>
        <v>-700521.84752365074</v>
      </c>
      <c r="N241" s="96">
        <f t="shared" si="79"/>
        <v>737591.31866890797</v>
      </c>
      <c r="O241" s="96">
        <f t="shared" si="85"/>
        <v>-700521.84752365062</v>
      </c>
      <c r="P241" s="116">
        <f t="shared" si="91"/>
        <v>684365451.74334753</v>
      </c>
      <c r="Q241" s="97">
        <f t="shared" si="80"/>
        <v>0.1892042292710073</v>
      </c>
      <c r="R241" s="97">
        <f t="shared" si="81"/>
        <v>0.23950375080385058</v>
      </c>
      <c r="S241" s="71">
        <f t="shared" si="82"/>
        <v>-0.23950375080385058</v>
      </c>
      <c r="T241" s="98">
        <f t="shared" si="72"/>
        <v>-976.93662826160801</v>
      </c>
      <c r="U241" s="99">
        <f t="shared" si="73"/>
        <v>-1.4892326650329391</v>
      </c>
      <c r="V241" s="93" t="str">
        <f t="shared" si="83"/>
        <v>NO</v>
      </c>
      <c r="W241" s="95">
        <f t="shared" si="74"/>
        <v>700.52184752365065</v>
      </c>
      <c r="X241" s="95">
        <f t="shared" si="75"/>
        <v>684.36545174334753</v>
      </c>
      <c r="Y241" s="95">
        <f t="shared" si="76"/>
        <v>-684.36545174334753</v>
      </c>
      <c r="Z241" s="95">
        <f t="shared" si="77"/>
        <v>0</v>
      </c>
      <c r="AA241" s="93" t="str">
        <f t="shared" si="84"/>
        <v>ROTTURA BILANCIATA</v>
      </c>
      <c r="AB241" s="100"/>
      <c r="AC241" s="71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</row>
    <row r="242" spans="1:46" ht="18.75" x14ac:dyDescent="0.25">
      <c r="A242" s="39"/>
      <c r="B242" s="39"/>
      <c r="C242" s="113">
        <f t="shared" si="86"/>
        <v>-3.5000000000000001E-3</v>
      </c>
      <c r="D242" s="94">
        <f t="shared" si="92"/>
        <v>1.079999999999998E-2</v>
      </c>
      <c r="E242" s="94">
        <f t="shared" si="93"/>
        <v>-2.5408536585365868E-3</v>
      </c>
      <c r="F242" s="93" t="s">
        <v>107</v>
      </c>
      <c r="G242" s="95">
        <f t="shared" si="87"/>
        <v>160.55944055944079</v>
      </c>
      <c r="H242" s="115">
        <f t="shared" si="88"/>
        <v>47.033333333333289</v>
      </c>
      <c r="I242" s="115">
        <f t="shared" si="89"/>
        <v>96.141666666666509</v>
      </c>
      <c r="J242" s="115">
        <f t="shared" si="70"/>
        <v>0.80952380952380887</v>
      </c>
      <c r="K242" s="115">
        <f t="shared" si="71"/>
        <v>0.41596638655462226</v>
      </c>
      <c r="L242" s="96">
        <f t="shared" si="78"/>
        <v>-737591.31866890797</v>
      </c>
      <c r="M242" s="116">
        <f t="shared" si="90"/>
        <v>-733588.43822843849</v>
      </c>
      <c r="N242" s="96">
        <f t="shared" si="79"/>
        <v>737591.31866890797</v>
      </c>
      <c r="O242" s="96">
        <f t="shared" si="85"/>
        <v>-733588.43822843861</v>
      </c>
      <c r="P242" s="116">
        <f t="shared" si="91"/>
        <v>691621445.08625138</v>
      </c>
      <c r="Q242" s="97">
        <f t="shared" si="80"/>
        <v>0.19813519813519828</v>
      </c>
      <c r="R242" s="97">
        <f t="shared" si="81"/>
        <v>0.24204309234572166</v>
      </c>
      <c r="S242" s="71">
        <f t="shared" si="82"/>
        <v>-0.24204309234572166</v>
      </c>
      <c r="T242" s="98">
        <f t="shared" si="72"/>
        <v>-942.79218297996306</v>
      </c>
      <c r="U242" s="99">
        <f t="shared" si="73"/>
        <v>-1.4371832057621388</v>
      </c>
      <c r="V242" s="93" t="str">
        <f t="shared" si="83"/>
        <v>NO</v>
      </c>
      <c r="W242" s="95">
        <f t="shared" si="74"/>
        <v>733.58843822843858</v>
      </c>
      <c r="X242" s="95">
        <f t="shared" si="75"/>
        <v>691.62144508625136</v>
      </c>
      <c r="Y242" s="95">
        <f t="shared" si="76"/>
        <v>-691.62144508625136</v>
      </c>
      <c r="Z242" s="95">
        <f t="shared" si="77"/>
        <v>0</v>
      </c>
      <c r="AA242" s="93" t="str">
        <f t="shared" si="84"/>
        <v>ROTTURA BILANCIATA</v>
      </c>
      <c r="AB242" s="100"/>
      <c r="AC242" s="71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</row>
    <row r="243" spans="1:46" ht="18.75" x14ac:dyDescent="0.25">
      <c r="A243" s="39"/>
      <c r="B243" s="39"/>
      <c r="C243" s="113">
        <f t="shared" si="86"/>
        <v>-3.5000000000000001E-3</v>
      </c>
      <c r="D243" s="94">
        <f t="shared" si="92"/>
        <v>1.012499999999998E-2</v>
      </c>
      <c r="E243" s="94">
        <f t="shared" si="93"/>
        <v>-2.5861280487804892E-3</v>
      </c>
      <c r="F243" s="93" t="s">
        <v>107</v>
      </c>
      <c r="G243" s="95">
        <f t="shared" si="87"/>
        <v>168.51376146789016</v>
      </c>
      <c r="H243" s="115">
        <f t="shared" si="88"/>
        <v>47.033333333333289</v>
      </c>
      <c r="I243" s="115">
        <f t="shared" si="89"/>
        <v>96.141666666666509</v>
      </c>
      <c r="J243" s="115">
        <f t="shared" si="70"/>
        <v>0.80952380952380887</v>
      </c>
      <c r="K243" s="115">
        <f t="shared" si="71"/>
        <v>0.41596638655462226</v>
      </c>
      <c r="L243" s="96">
        <f t="shared" si="78"/>
        <v>-737591.31866890797</v>
      </c>
      <c r="M243" s="116">
        <f t="shared" si="90"/>
        <v>-769931.3516819576</v>
      </c>
      <c r="N243" s="96">
        <f t="shared" si="79"/>
        <v>737591.31866890797</v>
      </c>
      <c r="O243" s="96">
        <f t="shared" si="85"/>
        <v>-769931.35168195749</v>
      </c>
      <c r="P243" s="116">
        <f t="shared" si="91"/>
        <v>699366723.57139468</v>
      </c>
      <c r="Q243" s="97">
        <f t="shared" si="80"/>
        <v>0.20795107033639157</v>
      </c>
      <c r="R243" s="97">
        <f t="shared" si="81"/>
        <v>0.24475366641617877</v>
      </c>
      <c r="S243" s="71">
        <f t="shared" si="82"/>
        <v>-0.24475366641617877</v>
      </c>
      <c r="T243" s="98">
        <f t="shared" si="72"/>
        <v>-908.34945484891546</v>
      </c>
      <c r="U243" s="99">
        <f t="shared" si="73"/>
        <v>-1.3846790470257857</v>
      </c>
      <c r="V243" s="93" t="str">
        <f t="shared" si="83"/>
        <v>NO</v>
      </c>
      <c r="W243" s="95">
        <f t="shared" si="74"/>
        <v>769.93135168195749</v>
      </c>
      <c r="X243" s="95">
        <f t="shared" si="75"/>
        <v>699.36672357139469</v>
      </c>
      <c r="Y243" s="95">
        <f t="shared" si="76"/>
        <v>-699.36672357139469</v>
      </c>
      <c r="Z243" s="95">
        <f t="shared" si="77"/>
        <v>0</v>
      </c>
      <c r="AA243" s="93" t="str">
        <f t="shared" si="84"/>
        <v>ROTTURA BILANCIATA</v>
      </c>
      <c r="AB243" s="100"/>
      <c r="AC243" s="71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</row>
    <row r="244" spans="1:46" ht="18.75" x14ac:dyDescent="0.25">
      <c r="A244" s="39"/>
      <c r="B244" s="39"/>
      <c r="C244" s="113">
        <f t="shared" si="86"/>
        <v>-3.5000000000000001E-3</v>
      </c>
      <c r="D244" s="94">
        <f t="shared" si="92"/>
        <v>9.4499999999999792E-3</v>
      </c>
      <c r="E244" s="94">
        <f t="shared" si="93"/>
        <v>-2.6314024390243916E-3</v>
      </c>
      <c r="F244" s="93" t="s">
        <v>107</v>
      </c>
      <c r="G244" s="95">
        <f t="shared" si="87"/>
        <v>177.2972972972976</v>
      </c>
      <c r="H244" s="115">
        <f t="shared" si="88"/>
        <v>47.033333333333289</v>
      </c>
      <c r="I244" s="115">
        <f t="shared" si="89"/>
        <v>96.141666666666509</v>
      </c>
      <c r="J244" s="115">
        <f t="shared" si="70"/>
        <v>0.80952380952380887</v>
      </c>
      <c r="K244" s="115">
        <f t="shared" si="71"/>
        <v>0.41596638655462226</v>
      </c>
      <c r="L244" s="96">
        <f t="shared" si="78"/>
        <v>-737591.31866890797</v>
      </c>
      <c r="M244" s="116">
        <f t="shared" si="90"/>
        <v>-810062.90862290922</v>
      </c>
      <c r="N244" s="96">
        <f t="shared" si="79"/>
        <v>737591.31866890797</v>
      </c>
      <c r="O244" s="96">
        <f t="shared" si="85"/>
        <v>-810062.90862290934</v>
      </c>
      <c r="P244" s="116">
        <f t="shared" si="91"/>
        <v>707640013.52858937</v>
      </c>
      <c r="Q244" s="97">
        <f t="shared" si="80"/>
        <v>0.21879021879021904</v>
      </c>
      <c r="R244" s="97">
        <f t="shared" si="81"/>
        <v>0.24764902586366161</v>
      </c>
      <c r="S244" s="71">
        <f t="shared" si="82"/>
        <v>-0.24764902586366161</v>
      </c>
      <c r="T244" s="98">
        <f t="shared" si="72"/>
        <v>-873.56180118351938</v>
      </c>
      <c r="U244" s="99">
        <f t="shared" si="73"/>
        <v>-1.3316490871699991</v>
      </c>
      <c r="V244" s="93" t="str">
        <f t="shared" si="83"/>
        <v>NO</v>
      </c>
      <c r="W244" s="95">
        <f t="shared" si="74"/>
        <v>810.06290862290939</v>
      </c>
      <c r="X244" s="95">
        <f t="shared" si="75"/>
        <v>707.64001352858941</v>
      </c>
      <c r="Y244" s="95">
        <f t="shared" si="76"/>
        <v>-707.64001352858941</v>
      </c>
      <c r="Z244" s="95">
        <f t="shared" si="77"/>
        <v>0</v>
      </c>
      <c r="AA244" s="93" t="str">
        <f t="shared" si="84"/>
        <v>ROTTURA BILANCIATA</v>
      </c>
      <c r="AB244" s="100"/>
      <c r="AC244" s="71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</row>
    <row r="245" spans="1:46" ht="18.75" x14ac:dyDescent="0.25">
      <c r="A245" s="39"/>
      <c r="B245" s="39"/>
      <c r="C245" s="113">
        <f t="shared" si="86"/>
        <v>-3.5000000000000001E-3</v>
      </c>
      <c r="D245" s="94">
        <f t="shared" si="92"/>
        <v>8.774999999999979E-3</v>
      </c>
      <c r="E245" s="94">
        <f t="shared" si="93"/>
        <v>-2.6766768292682945E-3</v>
      </c>
      <c r="F245" s="93" t="s">
        <v>107</v>
      </c>
      <c r="G245" s="95">
        <f t="shared" si="87"/>
        <v>187.04684317718971</v>
      </c>
      <c r="H245" s="115">
        <f t="shared" si="88"/>
        <v>47.033333333333289</v>
      </c>
      <c r="I245" s="115">
        <f t="shared" si="89"/>
        <v>96.141666666666509</v>
      </c>
      <c r="J245" s="115">
        <f t="shared" si="70"/>
        <v>0.80952380952380887</v>
      </c>
      <c r="K245" s="115">
        <f t="shared" si="71"/>
        <v>0.41596638655462226</v>
      </c>
      <c r="L245" s="96">
        <f t="shared" si="78"/>
        <v>-737591.31866890797</v>
      </c>
      <c r="M245" s="116">
        <f t="shared" si="90"/>
        <v>-854608.11948404671</v>
      </c>
      <c r="N245" s="96">
        <f t="shared" si="79"/>
        <v>737591.31866890797</v>
      </c>
      <c r="O245" s="96">
        <f t="shared" si="85"/>
        <v>-854608.11948404671</v>
      </c>
      <c r="P245" s="116">
        <f t="shared" si="91"/>
        <v>716479791.65863395</v>
      </c>
      <c r="Q245" s="97">
        <f t="shared" si="80"/>
        <v>0.2308214528173797</v>
      </c>
      <c r="R245" s="97">
        <f t="shared" si="81"/>
        <v>0.25074263617526676</v>
      </c>
      <c r="S245" s="71">
        <f t="shared" si="82"/>
        <v>-0.25074263617526676</v>
      </c>
      <c r="T245" s="98">
        <f t="shared" si="72"/>
        <v>-838.37231980804825</v>
      </c>
      <c r="U245" s="99">
        <f t="shared" si="73"/>
        <v>-1.2780065850732443</v>
      </c>
      <c r="V245" s="93" t="str">
        <f t="shared" si="83"/>
        <v>NO</v>
      </c>
      <c r="W245" s="95">
        <f t="shared" si="74"/>
        <v>854.60811948404671</v>
      </c>
      <c r="X245" s="95">
        <f t="shared" si="75"/>
        <v>716.47979165863399</v>
      </c>
      <c r="Y245" s="95">
        <f t="shared" si="76"/>
        <v>-716.47979165863399</v>
      </c>
      <c r="Z245" s="95">
        <f t="shared" si="77"/>
        <v>0</v>
      </c>
      <c r="AA245" s="93" t="str">
        <f t="shared" si="84"/>
        <v>ROTTURA BILANCIATA</v>
      </c>
      <c r="AB245" s="100"/>
      <c r="AC245" s="71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</row>
    <row r="246" spans="1:46" ht="18.75" x14ac:dyDescent="0.25">
      <c r="A246" s="39"/>
      <c r="B246" s="39"/>
      <c r="C246" s="113">
        <f t="shared" si="86"/>
        <v>-3.5000000000000001E-3</v>
      </c>
      <c r="D246" s="94">
        <f t="shared" si="92"/>
        <v>8.0999999999999787E-3</v>
      </c>
      <c r="E246" s="94">
        <f t="shared" si="93"/>
        <v>-2.721951219512196E-3</v>
      </c>
      <c r="F246" s="93" t="s">
        <v>107</v>
      </c>
      <c r="G246" s="95">
        <f t="shared" si="87"/>
        <v>197.93103448275897</v>
      </c>
      <c r="H246" s="115">
        <f t="shared" si="88"/>
        <v>47.033333333333289</v>
      </c>
      <c r="I246" s="115">
        <f t="shared" si="89"/>
        <v>96.141666666666509</v>
      </c>
      <c r="J246" s="115">
        <f t="shared" si="70"/>
        <v>0.80952380952380887</v>
      </c>
      <c r="K246" s="115">
        <f t="shared" si="71"/>
        <v>0.41596638655462226</v>
      </c>
      <c r="L246" s="96">
        <f t="shared" si="78"/>
        <v>-737591.31866890797</v>
      </c>
      <c r="M246" s="116">
        <f t="shared" si="90"/>
        <v>-904337.47126436851</v>
      </c>
      <c r="N246" s="96">
        <f t="shared" si="79"/>
        <v>737591.31866890797</v>
      </c>
      <c r="O246" s="96">
        <f t="shared" si="85"/>
        <v>-904337.47126436839</v>
      </c>
      <c r="P246" s="116">
        <f t="shared" si="91"/>
        <v>725921512.97387457</v>
      </c>
      <c r="Q246" s="97">
        <f t="shared" si="80"/>
        <v>0.24425287356321862</v>
      </c>
      <c r="R246" s="97">
        <f t="shared" si="81"/>
        <v>0.25404690535379454</v>
      </c>
      <c r="S246" s="71">
        <f t="shared" si="82"/>
        <v>-0.25404690535379454</v>
      </c>
      <c r="T246" s="98">
        <f t="shared" si="72"/>
        <v>-802.71086407483733</v>
      </c>
      <c r="U246" s="99">
        <f t="shared" si="73"/>
        <v>-1.2236446098701788</v>
      </c>
      <c r="V246" s="93" t="str">
        <f t="shared" si="83"/>
        <v>NO</v>
      </c>
      <c r="W246" s="95">
        <f t="shared" si="74"/>
        <v>904.33747126436833</v>
      </c>
      <c r="X246" s="95">
        <f t="shared" si="75"/>
        <v>725.92151297387454</v>
      </c>
      <c r="Y246" s="95">
        <f t="shared" si="76"/>
        <v>-725.92151297387454</v>
      </c>
      <c r="Z246" s="95">
        <f t="shared" si="77"/>
        <v>0</v>
      </c>
      <c r="AA246" s="93" t="str">
        <f t="shared" si="84"/>
        <v>ROTTURA BILANCIATA</v>
      </c>
      <c r="AB246" s="100"/>
      <c r="AC246" s="71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</row>
    <row r="247" spans="1:46" ht="18.75" x14ac:dyDescent="0.25">
      <c r="A247" s="39"/>
      <c r="B247" s="39"/>
      <c r="C247" s="113">
        <f t="shared" si="86"/>
        <v>-3.5000000000000001E-3</v>
      </c>
      <c r="D247" s="94">
        <f t="shared" si="92"/>
        <v>7.4249999999999785E-3</v>
      </c>
      <c r="E247" s="94">
        <f t="shared" si="93"/>
        <v>-2.7672256097560992E-3</v>
      </c>
      <c r="F247" s="93" t="s">
        <v>107</v>
      </c>
      <c r="G247" s="95">
        <f t="shared" si="87"/>
        <v>210.16018306636198</v>
      </c>
      <c r="H247" s="115">
        <f t="shared" si="88"/>
        <v>47.033333333333289</v>
      </c>
      <c r="I247" s="115">
        <f t="shared" si="89"/>
        <v>96.141666666666509</v>
      </c>
      <c r="J247" s="115">
        <f t="shared" si="70"/>
        <v>0.80952380952380887</v>
      </c>
      <c r="K247" s="115">
        <f t="shared" si="71"/>
        <v>0.41596638655462226</v>
      </c>
      <c r="L247" s="96">
        <f t="shared" si="78"/>
        <v>-737591.31866890797</v>
      </c>
      <c r="M247" s="116">
        <f t="shared" si="90"/>
        <v>-960211.86880244187</v>
      </c>
      <c r="N247" s="96">
        <f t="shared" si="79"/>
        <v>737591.31866890797</v>
      </c>
      <c r="O247" s="96">
        <f t="shared" si="85"/>
        <v>-960211.86880244175</v>
      </c>
      <c r="P247" s="116">
        <f t="shared" si="91"/>
        <v>735992748.5777781</v>
      </c>
      <c r="Q247" s="97">
        <f t="shared" si="80"/>
        <v>0.25934401220442438</v>
      </c>
      <c r="R247" s="97">
        <f t="shared" si="81"/>
        <v>0.25757148231223043</v>
      </c>
      <c r="S247" s="71">
        <f t="shared" si="82"/>
        <v>-0.25757148231223043</v>
      </c>
      <c r="T247" s="98">
        <f t="shared" si="72"/>
        <v>-766.48995132261223</v>
      </c>
      <c r="U247" s="99">
        <f t="shared" si="73"/>
        <v>-1.1684298038454455</v>
      </c>
      <c r="V247" s="93" t="str">
        <f t="shared" si="83"/>
        <v>NO</v>
      </c>
      <c r="W247" s="95">
        <f t="shared" si="74"/>
        <v>960.2118688024417</v>
      </c>
      <c r="X247" s="95">
        <f t="shared" si="75"/>
        <v>735.99274857777812</v>
      </c>
      <c r="Y247" s="95">
        <f t="shared" si="76"/>
        <v>-735.99274857777812</v>
      </c>
      <c r="Z247" s="95">
        <f t="shared" si="77"/>
        <v>0</v>
      </c>
      <c r="AA247" s="93" t="str">
        <f t="shared" si="84"/>
        <v>ROTTURA BILANCIATA</v>
      </c>
      <c r="AB247" s="100"/>
      <c r="AC247" s="71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</row>
    <row r="248" spans="1:46" ht="18.75" x14ac:dyDescent="0.25">
      <c r="A248" s="39"/>
      <c r="B248" s="39"/>
      <c r="C248" s="113">
        <f t="shared" si="86"/>
        <v>-3.5000000000000001E-3</v>
      </c>
      <c r="D248" s="94">
        <f t="shared" si="92"/>
        <v>6.7499999999999782E-3</v>
      </c>
      <c r="E248" s="94">
        <f t="shared" si="93"/>
        <v>-2.8125000000000012E-3</v>
      </c>
      <c r="F248" s="93" t="s">
        <v>107</v>
      </c>
      <c r="G248" s="95">
        <f t="shared" si="87"/>
        <v>224.00000000000048</v>
      </c>
      <c r="H248" s="115">
        <f t="shared" si="88"/>
        <v>47.033333333333289</v>
      </c>
      <c r="I248" s="115">
        <f t="shared" si="89"/>
        <v>96.141666666666509</v>
      </c>
      <c r="J248" s="115">
        <f t="shared" si="70"/>
        <v>0.80952380952380887</v>
      </c>
      <c r="K248" s="115">
        <f t="shared" si="71"/>
        <v>0.41596638655462226</v>
      </c>
      <c r="L248" s="96">
        <f t="shared" si="78"/>
        <v>-737591.31866890797</v>
      </c>
      <c r="M248" s="116">
        <f t="shared" si="90"/>
        <v>-1023445.3333333344</v>
      </c>
      <c r="N248" s="96">
        <f t="shared" si="79"/>
        <v>737591.31866890797</v>
      </c>
      <c r="O248" s="96">
        <f t="shared" si="85"/>
        <v>-1023445.3333333344</v>
      </c>
      <c r="P248" s="116">
        <f t="shared" si="91"/>
        <v>746704747.71347034</v>
      </c>
      <c r="Q248" s="97">
        <f t="shared" si="80"/>
        <v>0.27642276422764261</v>
      </c>
      <c r="R248" s="97">
        <f t="shared" si="81"/>
        <v>0.26132030388858324</v>
      </c>
      <c r="S248" s="71">
        <f t="shared" si="82"/>
        <v>-0.26132030388858324</v>
      </c>
      <c r="T248" s="98">
        <f t="shared" si="72"/>
        <v>-729.59905467688509</v>
      </c>
      <c r="U248" s="99">
        <f t="shared" si="73"/>
        <v>-1.1121936809098858</v>
      </c>
      <c r="V248" s="93" t="str">
        <f t="shared" si="83"/>
        <v>NO</v>
      </c>
      <c r="W248" s="95">
        <f t="shared" si="74"/>
        <v>1023.4453333333345</v>
      </c>
      <c r="X248" s="95">
        <f t="shared" si="75"/>
        <v>746.70474771347028</v>
      </c>
      <c r="Y248" s="95">
        <f t="shared" si="76"/>
        <v>-746.70474771347028</v>
      </c>
      <c r="Z248" s="95">
        <f t="shared" si="77"/>
        <v>0</v>
      </c>
      <c r="AA248" s="93" t="str">
        <f t="shared" si="84"/>
        <v>ROTTURA BILANCIATA</v>
      </c>
      <c r="AB248" s="100"/>
      <c r="AC248" s="71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</row>
    <row r="249" spans="1:46" ht="18.75" x14ac:dyDescent="0.25">
      <c r="A249" s="39"/>
      <c r="B249" s="39"/>
      <c r="C249" s="113">
        <f t="shared" si="86"/>
        <v>-3.5000000000000001E-3</v>
      </c>
      <c r="D249" s="94">
        <f t="shared" si="92"/>
        <v>6.074999999999978E-3</v>
      </c>
      <c r="E249" s="94">
        <f t="shared" si="93"/>
        <v>-2.857774390243904E-3</v>
      </c>
      <c r="F249" s="93" t="s">
        <v>107</v>
      </c>
      <c r="G249" s="95">
        <f t="shared" si="87"/>
        <v>239.79112271540527</v>
      </c>
      <c r="H249" s="115">
        <f t="shared" si="88"/>
        <v>47.033333333333289</v>
      </c>
      <c r="I249" s="115">
        <f t="shared" si="89"/>
        <v>96.141666666666509</v>
      </c>
      <c r="J249" s="115">
        <f t="shared" si="70"/>
        <v>0.80952380952380887</v>
      </c>
      <c r="K249" s="115">
        <f t="shared" si="71"/>
        <v>0.41596638655462226</v>
      </c>
      <c r="L249" s="96">
        <f t="shared" si="78"/>
        <v>-737591.31866890797</v>
      </c>
      <c r="M249" s="116">
        <f t="shared" si="90"/>
        <v>-1095594.2210617943</v>
      </c>
      <c r="N249" s="96">
        <f t="shared" si="79"/>
        <v>737591.31866890797</v>
      </c>
      <c r="O249" s="96">
        <f t="shared" si="85"/>
        <v>-1095594.2210617943</v>
      </c>
      <c r="P249" s="116">
        <f t="shared" si="91"/>
        <v>758037785.51682305</v>
      </c>
      <c r="Q249" s="97">
        <f t="shared" si="80"/>
        <v>0.29590948651000915</v>
      </c>
      <c r="R249" s="97">
        <f t="shared" si="81"/>
        <v>0.26528646707667292</v>
      </c>
      <c r="S249" s="71">
        <f t="shared" si="82"/>
        <v>-0.26528646707667292</v>
      </c>
      <c r="T249" s="98">
        <f t="shared" si="72"/>
        <v>-691.89648041605335</v>
      </c>
      <c r="U249" s="99">
        <f t="shared" si="73"/>
        <v>-1.0547202445366668</v>
      </c>
      <c r="V249" s="93" t="str">
        <f t="shared" si="83"/>
        <v>NO</v>
      </c>
      <c r="W249" s="95">
        <f t="shared" si="74"/>
        <v>1095.5942210617943</v>
      </c>
      <c r="X249" s="95">
        <f t="shared" si="75"/>
        <v>758.03778551682308</v>
      </c>
      <c r="Y249" s="95">
        <f t="shared" si="76"/>
        <v>-758.03778551682308</v>
      </c>
      <c r="Z249" s="95">
        <f t="shared" si="77"/>
        <v>0</v>
      </c>
      <c r="AA249" s="93" t="str">
        <f t="shared" si="84"/>
        <v>ROTTURA BILANCIATA</v>
      </c>
      <c r="AB249" s="100"/>
      <c r="AC249" s="71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</row>
    <row r="250" spans="1:46" ht="18.75" x14ac:dyDescent="0.25">
      <c r="A250" s="39"/>
      <c r="B250" s="39"/>
      <c r="C250" s="113">
        <f t="shared" si="86"/>
        <v>-3.5000000000000001E-3</v>
      </c>
      <c r="D250" s="94">
        <f t="shared" si="92"/>
        <v>5.3999999999999777E-3</v>
      </c>
      <c r="E250" s="94">
        <f t="shared" si="93"/>
        <v>-2.903048780487806E-3</v>
      </c>
      <c r="F250" s="93" t="s">
        <v>107</v>
      </c>
      <c r="G250" s="95">
        <f t="shared" si="87"/>
        <v>257.97752808988832</v>
      </c>
      <c r="H250" s="115">
        <f t="shared" si="88"/>
        <v>47.033333333333289</v>
      </c>
      <c r="I250" s="115">
        <f t="shared" si="89"/>
        <v>96.141666666666509</v>
      </c>
      <c r="J250" s="115">
        <f t="shared" ref="J250:J277" si="94">H250/($I$10*(-$I$12))</f>
        <v>0.80952380952380887</v>
      </c>
      <c r="K250" s="115">
        <f t="shared" si="71"/>
        <v>0.41596638655462226</v>
      </c>
      <c r="L250" s="96">
        <f t="shared" si="78"/>
        <v>-737591.31866890797</v>
      </c>
      <c r="M250" s="116">
        <f t="shared" si="90"/>
        <v>-1178687.0411985037</v>
      </c>
      <c r="N250" s="96">
        <f t="shared" si="79"/>
        <v>737591.31866890797</v>
      </c>
      <c r="O250" s="96">
        <f t="shared" si="85"/>
        <v>-1178687.0411985037</v>
      </c>
      <c r="P250" s="116">
        <f t="shared" si="91"/>
        <v>769915486.44645858</v>
      </c>
      <c r="Q250" s="97">
        <f t="shared" si="80"/>
        <v>0.31835205992509419</v>
      </c>
      <c r="R250" s="97">
        <f t="shared" si="81"/>
        <v>0.26944324313298518</v>
      </c>
      <c r="S250" s="71">
        <f t="shared" si="82"/>
        <v>-0.26944324313298518</v>
      </c>
      <c r="T250" s="98">
        <f t="shared" si="72"/>
        <v>-653.19754908274797</v>
      </c>
      <c r="U250" s="99">
        <f t="shared" si="73"/>
        <v>-0.9957279711627256</v>
      </c>
      <c r="V250" s="93" t="str">
        <f t="shared" si="83"/>
        <v>NO</v>
      </c>
      <c r="W250" s="95">
        <f t="shared" si="74"/>
        <v>1178.6870411985037</v>
      </c>
      <c r="X250" s="95">
        <f t="shared" si="75"/>
        <v>769.91548644645854</v>
      </c>
      <c r="Y250" s="95">
        <f t="shared" si="76"/>
        <v>-769.91548644645854</v>
      </c>
      <c r="Z250" s="95">
        <f t="shared" si="77"/>
        <v>0</v>
      </c>
      <c r="AA250" s="93" t="str">
        <f t="shared" si="84"/>
        <v>ROTTURA BILANCIATA</v>
      </c>
      <c r="AB250" s="100"/>
      <c r="AC250" s="71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</row>
    <row r="251" spans="1:46" ht="18.75" x14ac:dyDescent="0.25">
      <c r="A251" s="39"/>
      <c r="B251" s="39"/>
      <c r="C251" s="113">
        <f t="shared" si="86"/>
        <v>-3.5000000000000001E-3</v>
      </c>
      <c r="D251" s="94">
        <f t="shared" si="92"/>
        <v>4.7249999999999775E-3</v>
      </c>
      <c r="E251" s="94">
        <f t="shared" si="93"/>
        <v>-2.9483231707317088E-3</v>
      </c>
      <c r="F251" s="93" t="s">
        <v>107</v>
      </c>
      <c r="G251" s="95">
        <f t="shared" si="87"/>
        <v>279.14893617021352</v>
      </c>
      <c r="H251" s="115">
        <f t="shared" si="88"/>
        <v>47.033333333333289</v>
      </c>
      <c r="I251" s="115">
        <f t="shared" si="89"/>
        <v>96.141666666666509</v>
      </c>
      <c r="J251" s="115">
        <f t="shared" si="94"/>
        <v>0.80952380952380887</v>
      </c>
      <c r="K251" s="115">
        <f t="shared" ref="K251:K258" si="95">1-(I251/H251)/(-C251*10^3)</f>
        <v>0.41596638655462226</v>
      </c>
      <c r="L251" s="96">
        <f t="shared" si="78"/>
        <v>-737591.31866890797</v>
      </c>
      <c r="M251" s="116">
        <f t="shared" si="90"/>
        <v>-1275418.1965552198</v>
      </c>
      <c r="N251" s="96">
        <f t="shared" si="79"/>
        <v>737591.31866890797</v>
      </c>
      <c r="O251" s="96">
        <f t="shared" si="85"/>
        <v>-1275418.1965552198</v>
      </c>
      <c r="P251" s="116">
        <f t="shared" si="91"/>
        <v>782159082.07091343</v>
      </c>
      <c r="Q251" s="97">
        <f t="shared" si="80"/>
        <v>0.34447821681864299</v>
      </c>
      <c r="R251" s="97">
        <f t="shared" si="81"/>
        <v>0.27372806941682609</v>
      </c>
      <c r="S251" s="71">
        <f t="shared" si="82"/>
        <v>-0.27372806941682609</v>
      </c>
      <c r="T251" s="98">
        <f t="shared" si="72"/>
        <v>-613.25695696003777</v>
      </c>
      <c r="U251" s="99">
        <f t="shared" si="73"/>
        <v>-0.9348429221951795</v>
      </c>
      <c r="V251" s="93" t="str">
        <f t="shared" si="83"/>
        <v>NO</v>
      </c>
      <c r="W251" s="95">
        <f t="shared" si="74"/>
        <v>1275.4181965552198</v>
      </c>
      <c r="X251" s="95">
        <f t="shared" si="75"/>
        <v>782.15908207091343</v>
      </c>
      <c r="Y251" s="95">
        <f t="shared" si="76"/>
        <v>-782.15908207091343</v>
      </c>
      <c r="Z251" s="95">
        <f t="shared" si="77"/>
        <v>0</v>
      </c>
      <c r="AA251" s="93" t="str">
        <f t="shared" si="84"/>
        <v>ROTTURA BILANCIATA</v>
      </c>
      <c r="AB251" s="100"/>
      <c r="AC251" s="71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</row>
    <row r="252" spans="1:46" ht="18.75" x14ac:dyDescent="0.25">
      <c r="A252" s="39"/>
      <c r="B252" s="39"/>
      <c r="C252" s="113">
        <f t="shared" si="86"/>
        <v>-3.5000000000000001E-3</v>
      </c>
      <c r="D252" s="94">
        <f t="shared" si="92"/>
        <v>4.0499999999999772E-3</v>
      </c>
      <c r="E252" s="94">
        <f t="shared" si="93"/>
        <v>-2.9935975609756112E-3</v>
      </c>
      <c r="F252" s="93" t="s">
        <v>107</v>
      </c>
      <c r="G252" s="95">
        <f t="shared" si="87"/>
        <v>304.10596026490157</v>
      </c>
      <c r="H252" s="115">
        <f t="shared" si="88"/>
        <v>47.033333333333289</v>
      </c>
      <c r="I252" s="115">
        <f t="shared" si="89"/>
        <v>96.141666666666509</v>
      </c>
      <c r="J252" s="115">
        <f t="shared" si="94"/>
        <v>0.80952380952380887</v>
      </c>
      <c r="K252" s="115">
        <f t="shared" si="95"/>
        <v>0.41596638655462226</v>
      </c>
      <c r="L252" s="96">
        <f t="shared" si="78"/>
        <v>-737591.31866890797</v>
      </c>
      <c r="M252" s="116">
        <f t="shared" si="90"/>
        <v>-1389445.6512141307</v>
      </c>
      <c r="N252" s="96">
        <f t="shared" si="79"/>
        <v>737591.31866890797</v>
      </c>
      <c r="O252" s="96">
        <f t="shared" si="85"/>
        <v>-1389445.6512141307</v>
      </c>
      <c r="P252" s="116">
        <f t="shared" si="91"/>
        <v>794403985.09007657</v>
      </c>
      <c r="Q252" s="97">
        <f t="shared" si="80"/>
        <v>0.37527593818984628</v>
      </c>
      <c r="R252" s="97">
        <f t="shared" si="81"/>
        <v>0.27801335324266535</v>
      </c>
      <c r="S252" s="71">
        <f t="shared" si="82"/>
        <v>-0.27801335324266535</v>
      </c>
      <c r="T252" s="98">
        <f t="shared" si="72"/>
        <v>-571.74167582294956</v>
      </c>
      <c r="U252" s="99">
        <f t="shared" si="73"/>
        <v>-0.8715574326569353</v>
      </c>
      <c r="V252" s="93" t="str">
        <f t="shared" si="83"/>
        <v>NO</v>
      </c>
      <c r="W252" s="95">
        <f t="shared" si="74"/>
        <v>1389.4456512141307</v>
      </c>
      <c r="X252" s="95">
        <f t="shared" si="75"/>
        <v>794.40398509007662</v>
      </c>
      <c r="Y252" s="95">
        <f t="shared" si="76"/>
        <v>-794.40398509007662</v>
      </c>
      <c r="Z252" s="95">
        <f t="shared" si="77"/>
        <v>0</v>
      </c>
      <c r="AA252" s="93" t="str">
        <f t="shared" si="84"/>
        <v>ROTTURA BILANCIATA</v>
      </c>
      <c r="AB252" s="100"/>
      <c r="AC252" s="71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</row>
    <row r="253" spans="1:46" ht="18.75" x14ac:dyDescent="0.25">
      <c r="A253" s="39"/>
      <c r="B253" s="39"/>
      <c r="C253" s="113">
        <f t="shared" si="86"/>
        <v>-3.5000000000000001E-3</v>
      </c>
      <c r="D253" s="94">
        <f t="shared" si="92"/>
        <v>3.374999999999977E-3</v>
      </c>
      <c r="E253" s="94">
        <f t="shared" si="93"/>
        <v>-3.0388719512195136E-3</v>
      </c>
      <c r="F253" s="93" t="s">
        <v>107</v>
      </c>
      <c r="G253" s="95">
        <f t="shared" si="87"/>
        <v>333.96363636363748</v>
      </c>
      <c r="H253" s="115">
        <f t="shared" si="88"/>
        <v>47.033333333333289</v>
      </c>
      <c r="I253" s="115">
        <f t="shared" si="89"/>
        <v>96.141666666666509</v>
      </c>
      <c r="J253" s="115">
        <f t="shared" si="94"/>
        <v>0.80952380952380887</v>
      </c>
      <c r="K253" s="115">
        <f t="shared" si="95"/>
        <v>0.41596638655462226</v>
      </c>
      <c r="L253" s="96">
        <f t="shared" si="78"/>
        <v>-737591.31866890797</v>
      </c>
      <c r="M253" s="116">
        <f t="shared" si="90"/>
        <v>-1525863.9515151549</v>
      </c>
      <c r="N253" s="96">
        <f t="shared" si="79"/>
        <v>737591.31866890797</v>
      </c>
      <c r="O253" s="96">
        <f t="shared" si="85"/>
        <v>-1525863.9515151549</v>
      </c>
      <c r="P253" s="116">
        <f t="shared" si="91"/>
        <v>805942858.20074284</v>
      </c>
      <c r="Q253" s="97">
        <f t="shared" si="80"/>
        <v>0.41212121212121317</v>
      </c>
      <c r="R253" s="97">
        <f t="shared" si="81"/>
        <v>0.28205155152256728</v>
      </c>
      <c r="S253" s="71">
        <f t="shared" si="82"/>
        <v>-0.28205155152256728</v>
      </c>
      <c r="T253" s="98">
        <f t="shared" si="72"/>
        <v>-528.18788817997597</v>
      </c>
      <c r="U253" s="99">
        <f t="shared" si="73"/>
        <v>-0.80516446368898775</v>
      </c>
      <c r="V253" s="93" t="str">
        <f t="shared" si="83"/>
        <v>NO</v>
      </c>
      <c r="W253" s="95">
        <f t="shared" si="74"/>
        <v>1525.8639515151549</v>
      </c>
      <c r="X253" s="95">
        <f t="shared" si="75"/>
        <v>805.94285820074288</v>
      </c>
      <c r="Y253" s="95">
        <f t="shared" si="76"/>
        <v>-805.94285820074288</v>
      </c>
      <c r="Z253" s="95">
        <f t="shared" si="77"/>
        <v>0</v>
      </c>
      <c r="AA253" s="93" t="str">
        <f t="shared" si="84"/>
        <v>ROTTURA BILANCIATA</v>
      </c>
      <c r="AB253" s="100"/>
      <c r="AC253" s="71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</row>
    <row r="254" spans="1:46" ht="18.75" x14ac:dyDescent="0.25">
      <c r="A254" s="39"/>
      <c r="B254" s="39"/>
      <c r="C254" s="113">
        <f t="shared" si="86"/>
        <v>-3.5000000000000001E-3</v>
      </c>
      <c r="D254" s="94">
        <f t="shared" si="92"/>
        <v>2.6999999999999767E-3</v>
      </c>
      <c r="E254" s="94">
        <f t="shared" si="93"/>
        <v>-3.084146341463416E-3</v>
      </c>
      <c r="F254" s="93" t="s">
        <v>107</v>
      </c>
      <c r="G254" s="95">
        <f t="shared" si="87"/>
        <v>370.3225806451627</v>
      </c>
      <c r="H254" s="115">
        <f t="shared" si="88"/>
        <v>47.033333333333289</v>
      </c>
      <c r="I254" s="115">
        <f t="shared" si="89"/>
        <v>96.141666666666509</v>
      </c>
      <c r="J254" s="115">
        <f t="shared" si="94"/>
        <v>0.80952380952380887</v>
      </c>
      <c r="K254" s="115">
        <f t="shared" si="95"/>
        <v>0.41596638655462226</v>
      </c>
      <c r="L254" s="96">
        <f t="shared" si="78"/>
        <v>-737591.31866890797</v>
      </c>
      <c r="M254" s="116">
        <f t="shared" si="90"/>
        <v>-1691986.2365591445</v>
      </c>
      <c r="N254" s="96">
        <f t="shared" si="79"/>
        <v>737591.31866890797</v>
      </c>
      <c r="O254" s="96">
        <f t="shared" si="85"/>
        <v>-1691986.2365591447</v>
      </c>
      <c r="P254" s="116">
        <f t="shared" si="91"/>
        <v>815418574.2108686</v>
      </c>
      <c r="Q254" s="97">
        <f t="shared" si="80"/>
        <v>0.45698924731182938</v>
      </c>
      <c r="R254" s="97">
        <f t="shared" si="81"/>
        <v>0.28536771764433155</v>
      </c>
      <c r="S254" s="71">
        <f t="shared" si="82"/>
        <v>-0.28536771764433155</v>
      </c>
      <c r="T254" s="98">
        <f t="shared" si="72"/>
        <v>-481.92979150298487</v>
      </c>
      <c r="U254" s="99">
        <f t="shared" si="73"/>
        <v>-0.73464907241308675</v>
      </c>
      <c r="V254" s="93" t="str">
        <f t="shared" si="83"/>
        <v>NO</v>
      </c>
      <c r="W254" s="95">
        <f t="shared" si="74"/>
        <v>1691.9862365591448</v>
      </c>
      <c r="X254" s="95">
        <f t="shared" si="75"/>
        <v>815.41857421086854</v>
      </c>
      <c r="Y254" s="95">
        <f t="shared" si="76"/>
        <v>-815.41857421086854</v>
      </c>
      <c r="Z254" s="95">
        <f t="shared" si="77"/>
        <v>0</v>
      </c>
      <c r="AA254" s="93" t="str">
        <f t="shared" si="84"/>
        <v>ROTTURA BILANCIATA</v>
      </c>
      <c r="AB254" s="100"/>
      <c r="AC254" s="71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</row>
    <row r="255" spans="1:46" ht="18.75" x14ac:dyDescent="0.25">
      <c r="A255" s="39"/>
      <c r="B255" s="39"/>
      <c r="C255" s="113">
        <f t="shared" si="86"/>
        <v>-3.5000000000000001E-3</v>
      </c>
      <c r="D255" s="94">
        <f t="shared" si="92"/>
        <v>2.0249999999999765E-3</v>
      </c>
      <c r="E255" s="94">
        <f t="shared" si="93"/>
        <v>-3.1294207317073184E-3</v>
      </c>
      <c r="F255" s="93" t="s">
        <v>107</v>
      </c>
      <c r="G255" s="95">
        <f t="shared" si="87"/>
        <v>415.56561085973033</v>
      </c>
      <c r="H255" s="115">
        <f t="shared" si="88"/>
        <v>47.033333333333289</v>
      </c>
      <c r="I255" s="115">
        <f t="shared" si="89"/>
        <v>96.141666666666509</v>
      </c>
      <c r="J255" s="115">
        <f t="shared" si="94"/>
        <v>0.80952380952380887</v>
      </c>
      <c r="K255" s="115">
        <f t="shared" si="95"/>
        <v>0.41596638655462226</v>
      </c>
      <c r="L255" s="96">
        <f t="shared" si="78"/>
        <v>-737591.31866890797</v>
      </c>
      <c r="M255" s="116">
        <f t="shared" si="90"/>
        <v>-1898699.4871794935</v>
      </c>
      <c r="N255" s="96">
        <f t="shared" si="79"/>
        <v>737591.31866890797</v>
      </c>
      <c r="O255" s="96">
        <f t="shared" si="85"/>
        <v>-1898699.4871794935</v>
      </c>
      <c r="P255" s="116">
        <f t="shared" si="91"/>
        <v>820193015.43083835</v>
      </c>
      <c r="Q255" s="97">
        <f t="shared" si="80"/>
        <v>0.51282051282051466</v>
      </c>
      <c r="R255" s="97">
        <f t="shared" si="81"/>
        <v>0.28703860353908611</v>
      </c>
      <c r="S255" s="71">
        <f t="shared" si="82"/>
        <v>-0.28703860353908611</v>
      </c>
      <c r="T255" s="98">
        <f t="shared" si="72"/>
        <v>-431.97621370258548</v>
      </c>
      <c r="U255" s="99">
        <f t="shared" si="73"/>
        <v>-0.65850032576613637</v>
      </c>
      <c r="V255" s="93" t="str">
        <f t="shared" si="83"/>
        <v>NO</v>
      </c>
      <c r="W255" s="95">
        <f t="shared" si="74"/>
        <v>1898.6994871794936</v>
      </c>
      <c r="X255" s="95">
        <f t="shared" si="75"/>
        <v>820.19301543083839</v>
      </c>
      <c r="Y255" s="95">
        <f t="shared" si="76"/>
        <v>-820.19301543083839</v>
      </c>
      <c r="Z255" s="95">
        <f t="shared" si="77"/>
        <v>0</v>
      </c>
      <c r="AA255" s="93" t="str">
        <f t="shared" si="84"/>
        <v>ROTTURA BILANCIATA</v>
      </c>
      <c r="AB255" s="100"/>
      <c r="AC255" s="71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</row>
    <row r="256" spans="1:46" ht="18.75" x14ac:dyDescent="0.25">
      <c r="A256" s="39"/>
      <c r="B256" s="39"/>
      <c r="C256" s="113">
        <f t="shared" si="86"/>
        <v>-3.5000000000000001E-3</v>
      </c>
      <c r="D256" s="94">
        <f t="shared" si="92"/>
        <v>1.3499999999999764E-3</v>
      </c>
      <c r="E256" s="94">
        <f t="shared" si="93"/>
        <v>-3.1746951219512212E-3</v>
      </c>
      <c r="F256" s="93" t="s">
        <v>107</v>
      </c>
      <c r="G256" s="95">
        <f t="shared" si="87"/>
        <v>473.40206185567234</v>
      </c>
      <c r="H256" s="115">
        <f t="shared" si="88"/>
        <v>47.033333333333289</v>
      </c>
      <c r="I256" s="115">
        <f t="shared" si="89"/>
        <v>96.141666666666509</v>
      </c>
      <c r="J256" s="115">
        <f t="shared" si="94"/>
        <v>0.80952380952380887</v>
      </c>
      <c r="K256" s="115">
        <f t="shared" si="95"/>
        <v>0.41596638655462226</v>
      </c>
      <c r="L256" s="96">
        <f t="shared" si="78"/>
        <v>-737591.31866890797</v>
      </c>
      <c r="M256" s="116">
        <f t="shared" si="90"/>
        <v>-2162951.4776632381</v>
      </c>
      <c r="N256" s="96">
        <f t="shared" si="79"/>
        <v>532485.71133850713</v>
      </c>
      <c r="O256" s="96">
        <f t="shared" si="85"/>
        <v>-2368057.084993639</v>
      </c>
      <c r="P256" s="116">
        <f t="shared" si="91"/>
        <v>747691294.65172696</v>
      </c>
      <c r="Q256" s="97">
        <f t="shared" si="80"/>
        <v>0.63958949634449913</v>
      </c>
      <c r="R256" s="97">
        <f t="shared" si="81"/>
        <v>0.26166556049301093</v>
      </c>
      <c r="S256" s="71">
        <f t="shared" si="82"/>
        <v>-0.26166556049301093</v>
      </c>
      <c r="T256" s="98">
        <f t="shared" si="72"/>
        <v>-315.7404014412665</v>
      </c>
      <c r="U256" s="99">
        <f t="shared" si="73"/>
        <v>-0.48131158756290626</v>
      </c>
      <c r="V256" s="93" t="str">
        <f t="shared" si="83"/>
        <v>NO</v>
      </c>
      <c r="W256" s="95">
        <f t="shared" si="74"/>
        <v>2368.0570849936389</v>
      </c>
      <c r="X256" s="95">
        <f t="shared" si="75"/>
        <v>747.69129465172693</v>
      </c>
      <c r="Y256" s="95">
        <f t="shared" si="76"/>
        <v>-747.69129465172693</v>
      </c>
      <c r="Z256" s="95">
        <f t="shared" si="77"/>
        <v>-205.10560733040086</v>
      </c>
      <c r="AA256" s="93" t="str">
        <f t="shared" si="84"/>
        <v/>
      </c>
      <c r="AB256" s="100"/>
      <c r="AC256" s="71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</row>
    <row r="257" spans="1:46" ht="18.75" x14ac:dyDescent="0.25">
      <c r="A257" s="39"/>
      <c r="B257" s="39"/>
      <c r="C257" s="113">
        <f t="shared" si="86"/>
        <v>-3.5000000000000001E-3</v>
      </c>
      <c r="D257" s="94">
        <f t="shared" si="92"/>
        <v>6.749999999999764E-4</v>
      </c>
      <c r="E257" s="94">
        <f t="shared" si="93"/>
        <v>-3.219969512195124E-3</v>
      </c>
      <c r="F257" s="93" t="s">
        <v>107</v>
      </c>
      <c r="G257" s="95">
        <f t="shared" si="87"/>
        <v>549.94011976048216</v>
      </c>
      <c r="H257" s="115">
        <f t="shared" si="88"/>
        <v>47.033333333333289</v>
      </c>
      <c r="I257" s="115">
        <f t="shared" si="89"/>
        <v>96.141666666666509</v>
      </c>
      <c r="J257" s="115">
        <f t="shared" si="94"/>
        <v>0.80952380952380887</v>
      </c>
      <c r="K257" s="115">
        <f t="shared" si="95"/>
        <v>0.41596638655462226</v>
      </c>
      <c r="L257" s="96">
        <f t="shared" si="78"/>
        <v>-737591.31866890797</v>
      </c>
      <c r="M257" s="116">
        <f t="shared" si="90"/>
        <v>-2512650.21956089</v>
      </c>
      <c r="N257" s="96">
        <f t="shared" si="79"/>
        <v>266242.85566924891</v>
      </c>
      <c r="O257" s="116">
        <f t="shared" si="85"/>
        <v>-2983998.6825605491</v>
      </c>
      <c r="P257" s="116">
        <f t="shared" si="91"/>
        <v>633899853.66162026</v>
      </c>
      <c r="Q257" s="97">
        <f t="shared" si="80"/>
        <v>0.80594941167842549</v>
      </c>
      <c r="R257" s="97">
        <f t="shared" si="81"/>
        <v>0.22184257285229894</v>
      </c>
      <c r="S257" s="71">
        <f t="shared" si="82"/>
        <v>-0.22184257285229894</v>
      </c>
      <c r="T257" s="98">
        <f t="shared" si="72"/>
        <v>-212.43302061972597</v>
      </c>
      <c r="U257" s="99">
        <f t="shared" si="73"/>
        <v>-0.3238308241154359</v>
      </c>
      <c r="V257" s="93" t="str">
        <f t="shared" si="83"/>
        <v>NO</v>
      </c>
      <c r="W257" s="95">
        <f t="shared" si="74"/>
        <v>2983.9986825605492</v>
      </c>
      <c r="X257" s="95">
        <f t="shared" si="75"/>
        <v>633.89985366162023</v>
      </c>
      <c r="Y257" s="95">
        <f t="shared" si="76"/>
        <v>-633.89985366162023</v>
      </c>
      <c r="Z257" s="95">
        <f t="shared" si="77"/>
        <v>-471.34846299965909</v>
      </c>
      <c r="AA257" s="93" t="str">
        <f t="shared" si="84"/>
        <v/>
      </c>
      <c r="AB257" s="100"/>
      <c r="AC257" s="71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</row>
    <row r="258" spans="1:46" ht="18.75" x14ac:dyDescent="0.25">
      <c r="A258" s="39"/>
      <c r="B258" s="39"/>
      <c r="C258" s="113">
        <f t="shared" si="86"/>
        <v>-3.5000000000000001E-3</v>
      </c>
      <c r="D258" s="111">
        <f t="shared" si="92"/>
        <v>-2.3635607360183997E-17</v>
      </c>
      <c r="E258" s="111">
        <f t="shared" si="93"/>
        <v>-3.265243902439026E-3</v>
      </c>
      <c r="F258" s="113" t="s">
        <v>107</v>
      </c>
      <c r="G258" s="114">
        <f t="shared" si="87"/>
        <v>656.00000000000455</v>
      </c>
      <c r="H258" s="115">
        <f t="shared" si="88"/>
        <v>47.033333333333289</v>
      </c>
      <c r="I258" s="115">
        <f t="shared" si="89"/>
        <v>96.141666666666509</v>
      </c>
      <c r="J258" s="115">
        <f t="shared" si="94"/>
        <v>0.80952380952380887</v>
      </c>
      <c r="K258" s="115">
        <f t="shared" si="95"/>
        <v>0.41596638655462226</v>
      </c>
      <c r="L258" s="116">
        <f t="shared" si="78"/>
        <v>-737591.31866890797</v>
      </c>
      <c r="M258" s="116">
        <f t="shared" si="90"/>
        <v>-2997232.7619047794</v>
      </c>
      <c r="N258" s="116">
        <f t="shared" si="79"/>
        <v>-9.3226838504484819E-9</v>
      </c>
      <c r="O258" s="116">
        <f t="shared" si="85"/>
        <v>-3734824.0805736966</v>
      </c>
      <c r="P258" s="116">
        <f t="shared" si="91"/>
        <v>473094677.63903981</v>
      </c>
      <c r="Q258" s="97">
        <f t="shared" si="80"/>
        <v>1.0087401472569881</v>
      </c>
      <c r="R258" s="117">
        <f t="shared" si="81"/>
        <v>0.16556643748051392</v>
      </c>
      <c r="S258" s="115">
        <f t="shared" si="82"/>
        <v>-0.16556643748051392</v>
      </c>
      <c r="T258" s="118">
        <f t="shared" si="72"/>
        <v>-126.67120791573373</v>
      </c>
      <c r="U258" s="119">
        <f t="shared" si="73"/>
        <v>-0.19309635353008192</v>
      </c>
      <c r="V258" s="113" t="str">
        <f t="shared" si="83"/>
        <v>NO</v>
      </c>
      <c r="W258" s="114">
        <f t="shared" si="74"/>
        <v>3734.8240805736968</v>
      </c>
      <c r="X258" s="114">
        <f t="shared" si="75"/>
        <v>473.09467763903979</v>
      </c>
      <c r="Y258" s="114">
        <f t="shared" si="76"/>
        <v>-473.09467763903979</v>
      </c>
      <c r="Z258" s="114">
        <f t="shared" si="77"/>
        <v>-737.59131866891732</v>
      </c>
      <c r="AA258" s="113" t="str">
        <f t="shared" si="84"/>
        <v/>
      </c>
      <c r="AB258" s="100"/>
      <c r="AC258" s="71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</row>
    <row r="259" spans="1:46" ht="26.25" x14ac:dyDescent="0.25">
      <c r="A259" s="39"/>
      <c r="B259" s="135"/>
      <c r="C259" s="113">
        <f t="shared" si="86"/>
        <v>-3.5000000000000001E-3</v>
      </c>
      <c r="D259" s="111">
        <f>$D$258</f>
        <v>-2.3635607360183997E-17</v>
      </c>
      <c r="E259" s="111">
        <f>(($C$13+G259-$C$8)/G259*C259)</f>
        <v>-3.265243902439026E-3</v>
      </c>
      <c r="F259" s="136" t="str">
        <f>IF(((G259-$C$8)/G259*C259)&gt;0,"&gt;0,0000",(G259-$C$8)/G259*C259)</f>
        <v>&gt;0,0000</v>
      </c>
      <c r="G259" s="114">
        <f>($C$13*C259)/(C259-D259)</f>
        <v>656.00000000000455</v>
      </c>
      <c r="H259" s="115">
        <f t="shared" ref="H259:H277" si="96">IF(F259&gt;0,$H$258,(IF(F259&lt;($I$14*10^-3),$I$10*(-$I$12), $H$258-((2*$I$10/(-$I$14)*((-F259*10^3)^2)/2)-($I$10/(-$I$14)^2*(-F259*10^3)^3/3))+(-F259*10^3*$I$10))))</f>
        <v>47.033333333333289</v>
      </c>
      <c r="I259" s="115">
        <f t="shared" ref="I259:I277" si="97">IF(F259&gt;0,I258,(IF(F259&lt;($I$14*10^-3),$I$10/2*(-$I$12)^2,$I$258-((2*$I$10/(-$I$14)*((-F259*10^3)^3)/3)-($I$10/(-$I$14)^2*(-F259*10^3)^4/4))+$I$10/2*((-F259*10^3)^2))))</f>
        <v>96.141666666666509</v>
      </c>
      <c r="J259" s="115">
        <f t="shared" si="94"/>
        <v>0.80952380952380887</v>
      </c>
      <c r="K259" s="115">
        <f>1-(I259/H259)/(-C259*10^3)</f>
        <v>0.41596638655462226</v>
      </c>
      <c r="L259" s="116">
        <f t="shared" si="78"/>
        <v>-737591.31866890797</v>
      </c>
      <c r="M259" s="116">
        <f>IF(G259&lt;$C$8,( -$I$16*$C$6*J259*$I$10*G259),( -$I$16*$C$6*J259*$I$10*$C$8))</f>
        <v>-2997232.7619047794</v>
      </c>
      <c r="N259" s="116">
        <f t="shared" si="79"/>
        <v>-9.3226838504484819E-9</v>
      </c>
      <c r="O259" s="116">
        <f t="shared" si="85"/>
        <v>-3734824.0805736966</v>
      </c>
      <c r="P259" s="116">
        <f t="shared" ref="P259:P277" si="98">IF(G259&lt;=$C$8,-M259*($C$8/2-(K259*G259))-L259*($C$13/2)+N259*($C$13/2),-M259*($C$8/2-(K259*$C$8))-L259*($C$13/2)+N259*($C$13/2))</f>
        <v>473094677.63903981</v>
      </c>
      <c r="Q259" s="97">
        <f t="shared" si="80"/>
        <v>1.0087401472569881</v>
      </c>
      <c r="R259" s="117">
        <f t="shared" si="81"/>
        <v>0.16556643748051392</v>
      </c>
      <c r="S259" s="115">
        <f t="shared" si="82"/>
        <v>-0.16556643748051392</v>
      </c>
      <c r="T259" s="115">
        <f t="shared" si="72"/>
        <v>-126.67120791573373</v>
      </c>
      <c r="U259" s="119">
        <f t="shared" si="73"/>
        <v>-0.19309635353008192</v>
      </c>
      <c r="V259" s="113" t="str">
        <f t="shared" si="83"/>
        <v>NO</v>
      </c>
      <c r="W259" s="114">
        <f t="shared" si="74"/>
        <v>3734.8240805736968</v>
      </c>
      <c r="X259" s="114">
        <f t="shared" si="75"/>
        <v>473.09467763903979</v>
      </c>
      <c r="Y259" s="114">
        <f t="shared" si="76"/>
        <v>-473.09467763903979</v>
      </c>
      <c r="Z259" s="114">
        <f t="shared" si="77"/>
        <v>-737.59131866891732</v>
      </c>
      <c r="AA259" s="113" t="str">
        <f t="shared" si="84"/>
        <v/>
      </c>
      <c r="AB259" s="100"/>
      <c r="AC259" s="71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</row>
    <row r="260" spans="1:46" ht="18.75" x14ac:dyDescent="0.25">
      <c r="A260" s="39"/>
      <c r="B260" s="39"/>
      <c r="C260" s="113">
        <f t="shared" si="86"/>
        <v>-3.5000000000000001E-3</v>
      </c>
      <c r="D260" s="111">
        <f>D259-0.0001</f>
        <v>-1.0000000000002364E-4</v>
      </c>
      <c r="E260" s="111">
        <f>(($C$13+G260-$C$8)/G260*C260)</f>
        <v>-3.2719512195121966E-3</v>
      </c>
      <c r="F260" s="136" t="str">
        <f>IF(((G260-$C$8)/G260*C260)&gt;0,"&gt;0,0000",(G260-$C$8)/G260*C260)</f>
        <v>&gt;0,0000</v>
      </c>
      <c r="G260" s="114">
        <f>($C$13*C260)/(C260-D260)</f>
        <v>675.29411764706356</v>
      </c>
      <c r="H260" s="115">
        <f t="shared" si="96"/>
        <v>47.033333333333289</v>
      </c>
      <c r="I260" s="115">
        <f t="shared" si="97"/>
        <v>96.141666666666509</v>
      </c>
      <c r="J260" s="115">
        <f t="shared" si="94"/>
        <v>0.80952380952380887</v>
      </c>
      <c r="K260" s="115">
        <f>1-(I260/H260)/(-C260*10^3)</f>
        <v>0.41596638655462226</v>
      </c>
      <c r="L260" s="116">
        <f t="shared" si="78"/>
        <v>-737591.31866890797</v>
      </c>
      <c r="M260" s="116">
        <f>IF(G260&lt;$C$8,( -$I$16*$C$6*J260*$I$10*G260),( -$I$16*$C$6*J260*$I$10*$C$8))</f>
        <v>-3085386.6666666851</v>
      </c>
      <c r="N260" s="116">
        <f t="shared" si="79"/>
        <v>-39443.386025084619</v>
      </c>
      <c r="O260" s="116">
        <f t="shared" si="85"/>
        <v>-3862421.3713606778</v>
      </c>
      <c r="P260" s="116">
        <f t="shared" si="98"/>
        <v>442193808.18167818</v>
      </c>
      <c r="Q260" s="97">
        <f t="shared" si="80"/>
        <v>1.0432029511591954</v>
      </c>
      <c r="R260" s="117">
        <f t="shared" si="81"/>
        <v>0.15475222393527238</v>
      </c>
      <c r="S260" s="115">
        <f t="shared" si="82"/>
        <v>-0.15475222393527238</v>
      </c>
      <c r="T260" s="115">
        <f t="shared" si="72"/>
        <v>-114.48616442019619</v>
      </c>
      <c r="U260" s="119">
        <f t="shared" si="73"/>
        <v>-0.1745215921039576</v>
      </c>
      <c r="V260" s="113" t="str">
        <f t="shared" si="83"/>
        <v>SI</v>
      </c>
      <c r="W260" s="114">
        <f t="shared" si="74"/>
        <v>3862.4213713606778</v>
      </c>
      <c r="X260" s="114">
        <f t="shared" si="75"/>
        <v>442.19380818167815</v>
      </c>
      <c r="Y260" s="114">
        <f t="shared" si="76"/>
        <v>-442.19380818167815</v>
      </c>
      <c r="Z260" s="114">
        <f t="shared" si="77"/>
        <v>-777.03470469399258</v>
      </c>
      <c r="AA260" s="113" t="str">
        <f t="shared" si="84"/>
        <v/>
      </c>
      <c r="AB260" s="100"/>
      <c r="AC260" s="71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</row>
    <row r="261" spans="1:46" ht="18.75" x14ac:dyDescent="0.25">
      <c r="A261" s="39"/>
      <c r="B261" s="39"/>
      <c r="C261" s="113">
        <f t="shared" si="86"/>
        <v>-3.5000000000000001E-3</v>
      </c>
      <c r="D261" s="111">
        <f>D260-0.0001</f>
        <v>-2.0000000000002365E-4</v>
      </c>
      <c r="E261" s="111">
        <f>(($C$13+G261-$C$8)/G261*C261)</f>
        <v>-3.2786585365853676E-3</v>
      </c>
      <c r="F261" s="136" t="str">
        <f>IF(((G261-$C$8)/G261*C261)&gt;0,"&gt;0,0000",(G261-$C$8)/G261*C261)</f>
        <v>&gt;0,0000</v>
      </c>
      <c r="G261" s="114">
        <f>($C$13*C261)/(C261-D261)</f>
        <v>695.75757575758075</v>
      </c>
      <c r="H261" s="115">
        <f t="shared" si="96"/>
        <v>47.033333333333289</v>
      </c>
      <c r="I261" s="115">
        <f t="shared" si="97"/>
        <v>96.141666666666509</v>
      </c>
      <c r="J261" s="115">
        <f t="shared" si="94"/>
        <v>0.80952380952380887</v>
      </c>
      <c r="K261" s="115">
        <f>1-(I261/H261)/(-C261*10^3)</f>
        <v>0.41596638655462226</v>
      </c>
      <c r="L261" s="116">
        <f t="shared" si="78"/>
        <v>-737591.31866890797</v>
      </c>
      <c r="M261" s="116">
        <f>IF(G261&lt;$C$8,( -$I$16*$C$6*J261*$I$10*G261),( -$I$16*$C$6*J261*$I$10*$C$8))</f>
        <v>-3178883.2323232517</v>
      </c>
      <c r="N261" s="116">
        <f t="shared" si="79"/>
        <v>-78886.772050159911</v>
      </c>
      <c r="O261" s="116">
        <f t="shared" si="85"/>
        <v>-3995361.3230423196</v>
      </c>
      <c r="P261" s="116">
        <f t="shared" si="98"/>
        <v>408658016.5434683</v>
      </c>
      <c r="Q261" s="97">
        <f t="shared" si="80"/>
        <v>1.0791087565044037</v>
      </c>
      <c r="R261" s="117">
        <f t="shared" si="81"/>
        <v>0.14301588063642942</v>
      </c>
      <c r="S261" s="115">
        <f t="shared" si="82"/>
        <v>-0.14301588063642942</v>
      </c>
      <c r="T261" s="115">
        <f t="shared" si="72"/>
        <v>-102.28311872236135</v>
      </c>
      <c r="U261" s="119">
        <f t="shared" si="73"/>
        <v>-0.15591938829628255</v>
      </c>
      <c r="V261" s="113" t="str">
        <f t="shared" si="83"/>
        <v>SI</v>
      </c>
      <c r="W261" s="114">
        <f t="shared" si="74"/>
        <v>3995.3613230423198</v>
      </c>
      <c r="X261" s="114">
        <f t="shared" si="75"/>
        <v>408.65801654346831</v>
      </c>
      <c r="Y261" s="114">
        <f t="shared" si="76"/>
        <v>-408.65801654346831</v>
      </c>
      <c r="Z261" s="114">
        <f t="shared" si="77"/>
        <v>-816.47809071906784</v>
      </c>
      <c r="AA261" s="113" t="str">
        <f t="shared" si="84"/>
        <v/>
      </c>
      <c r="AB261" s="100"/>
      <c r="AC261" s="71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</row>
    <row r="262" spans="1:46" ht="18.75" x14ac:dyDescent="0.25">
      <c r="A262" s="39"/>
      <c r="B262" s="39"/>
      <c r="C262" s="137">
        <f t="shared" si="86"/>
        <v>-3.5000000000000001E-3</v>
      </c>
      <c r="D262" s="137">
        <f t="shared" ref="D262:D277" si="99">(G262-$C$13)/(G262-$C$8+($I$14*10^-3)*$C$8/($I$12*10^-3))*($I$14*10^-3)</f>
        <v>-2.1999999999999998E-4</v>
      </c>
      <c r="E262" s="137">
        <f>(G262-$C$10)/(G262-$C$8+($I$14*10^-3)*$C$8/($I$12*10^-3))*($I$14*10^-3)</f>
        <v>-3.2799999999999995E-3</v>
      </c>
      <c r="F262" s="137">
        <f>(G262-$C$8)/(G262-$C$8+($I$14*10^-3)*$C$8/($I$12*10^-3))*($I$14*10^-3)</f>
        <v>0</v>
      </c>
      <c r="G262" s="138">
        <f>($C$8*($I$14*10^-3)*C262/(($I$14*10^-3)-C262))*(1/($I$12*10^-3)-1/($I$14*10^-3))</f>
        <v>700</v>
      </c>
      <c r="H262" s="139">
        <f t="shared" si="96"/>
        <v>47.033333333333289</v>
      </c>
      <c r="I262" s="139">
        <f t="shared" si="97"/>
        <v>96.141666666666509</v>
      </c>
      <c r="J262" s="139">
        <f t="shared" si="94"/>
        <v>0.80952380952380887</v>
      </c>
      <c r="K262" s="139">
        <f>1-(I262/H262)/(-$I$12)</f>
        <v>0.41596638655462226</v>
      </c>
      <c r="L262" s="140">
        <f t="shared" si="78"/>
        <v>-737591.31866890797</v>
      </c>
      <c r="M262" s="140">
        <f t="shared" ref="M262:M277" si="100">IF(G262&lt;$C$8,( -$I$16*$C$6*J262*$I$10*G262),( -$I$16*$C$6*J262*$I$10*$C$8))</f>
        <v>-3198266.6666666633</v>
      </c>
      <c r="N262" s="140">
        <f t="shared" si="79"/>
        <v>-86775.449255165629</v>
      </c>
      <c r="O262" s="140">
        <f t="shared" si="85"/>
        <v>-4022633.4345907369</v>
      </c>
      <c r="P262" s="140">
        <f t="shared" si="98"/>
        <v>401600938.50103968</v>
      </c>
      <c r="Q262" s="141">
        <f t="shared" si="80"/>
        <v>1.0864746921484552</v>
      </c>
      <c r="R262" s="141">
        <f t="shared" si="81"/>
        <v>0.14054615242824539</v>
      </c>
      <c r="S262" s="139">
        <f t="shared" si="82"/>
        <v>-0.14054615242824539</v>
      </c>
      <c r="T262" s="139">
        <f t="shared" si="72"/>
        <v>-99.835330519470659</v>
      </c>
      <c r="U262" s="142">
        <f t="shared" si="73"/>
        <v>-0.1521880038406565</v>
      </c>
      <c r="V262" s="143" t="str">
        <f t="shared" si="83"/>
        <v>SI</v>
      </c>
      <c r="W262" s="138">
        <f t="shared" si="74"/>
        <v>4022.6334345907367</v>
      </c>
      <c r="X262" s="138">
        <f t="shared" si="75"/>
        <v>401.60093850103971</v>
      </c>
      <c r="Y262" s="138">
        <f t="shared" si="76"/>
        <v>-401.60093850103971</v>
      </c>
      <c r="Z262" s="138">
        <f t="shared" si="77"/>
        <v>-824.36676792407366</v>
      </c>
      <c r="AA262" s="143" t="str">
        <f t="shared" si="84"/>
        <v/>
      </c>
      <c r="AB262" s="100"/>
      <c r="AC262" s="71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</row>
    <row r="263" spans="1:46" ht="26.25" x14ac:dyDescent="0.25">
      <c r="A263" s="39"/>
      <c r="B263" s="144" t="s">
        <v>110</v>
      </c>
      <c r="C263" s="111">
        <f>C262+0.0001</f>
        <v>-3.4000000000000002E-3</v>
      </c>
      <c r="D263" s="111">
        <f t="shared" si="99"/>
        <v>-3.3866666666666702E-4</v>
      </c>
      <c r="E263" s="111">
        <f t="shared" ref="E263:E276" si="101">(G263-$C$10)/(G263-$C$8+($I$14*10^-3)*$C$8/($I$12*10^-3))*($I$14*10^-3)</f>
        <v>-3.194666666666666E-3</v>
      </c>
      <c r="F263" s="111">
        <f t="shared" ref="F263:F276" si="102">(G263-$C$8)/(G263-$C$8+($I$14*10^-3)*$C$8/($I$12*10^-3))*($I$14*10^-3)</f>
        <v>-1.3333333333333375E-4</v>
      </c>
      <c r="G263" s="114">
        <f t="shared" ref="G263:G277" si="103">($C$8*($I$14*10^-3)*C263/(($I$14*10^-3)-C263))*(1/($I$12*10^-3)-1/($I$14*10^-3))</f>
        <v>728.57142857142867</v>
      </c>
      <c r="H263" s="115">
        <f t="shared" si="96"/>
        <v>49.10239012345675</v>
      </c>
      <c r="I263" s="115">
        <f t="shared" si="97"/>
        <v>96.276434074073919</v>
      </c>
      <c r="J263" s="115">
        <f t="shared" si="94"/>
        <v>0.84513580246913522</v>
      </c>
      <c r="K263" s="115">
        <f t="shared" ref="K263:K277" si="104">1-(I263/H263)/(-$I$12)</f>
        <v>0.43979198317167278</v>
      </c>
      <c r="L263" s="96">
        <f t="shared" si="78"/>
        <v>-737591.31866890797</v>
      </c>
      <c r="M263" s="116">
        <f t="shared" si="100"/>
        <v>-3338962.5283950591</v>
      </c>
      <c r="N263" s="96">
        <f t="shared" si="79"/>
        <v>-133581.60067158847</v>
      </c>
      <c r="O263" s="116">
        <f t="shared" si="85"/>
        <v>-4210135.4477355555</v>
      </c>
      <c r="P263" s="116">
        <f t="shared" si="98"/>
        <v>338837805.97225535</v>
      </c>
      <c r="Q263" s="97">
        <f t="shared" si="80"/>
        <v>1.1371171867533503</v>
      </c>
      <c r="R263" s="117">
        <f t="shared" si="81"/>
        <v>0.11858127150891992</v>
      </c>
      <c r="S263" s="115">
        <f t="shared" si="82"/>
        <v>-0.11858127150891992</v>
      </c>
      <c r="T263" s="115">
        <f t="shared" si="72"/>
        <v>-80.481450105008179</v>
      </c>
      <c r="U263" s="119">
        <f t="shared" si="73"/>
        <v>-0.1226851373551954</v>
      </c>
      <c r="V263" s="113" t="str">
        <f t="shared" si="83"/>
        <v>SI</v>
      </c>
      <c r="W263" s="95">
        <f t="shared" si="74"/>
        <v>4210.1354477355553</v>
      </c>
      <c r="X263" s="95">
        <f t="shared" si="75"/>
        <v>338.83780597225535</v>
      </c>
      <c r="Y263" s="95">
        <f t="shared" si="76"/>
        <v>-338.83780597225535</v>
      </c>
      <c r="Z263" s="95">
        <f t="shared" si="77"/>
        <v>-871.17291934049638</v>
      </c>
      <c r="AA263" s="93" t="str">
        <f t="shared" si="84"/>
        <v/>
      </c>
      <c r="AB263" s="100"/>
      <c r="AC263" s="71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</row>
    <row r="264" spans="1:46" ht="18.75" x14ac:dyDescent="0.25">
      <c r="A264" s="39"/>
      <c r="B264" s="39"/>
      <c r="C264" s="111">
        <f t="shared" ref="C264:C277" si="105">C263+0.0001</f>
        <v>-3.3000000000000004E-3</v>
      </c>
      <c r="D264" s="111">
        <f t="shared" si="99"/>
        <v>-4.5733333333333292E-4</v>
      </c>
      <c r="E264" s="111">
        <f t="shared" si="101"/>
        <v>-3.1093333333333333E-3</v>
      </c>
      <c r="F264" s="111">
        <f t="shared" si="102"/>
        <v>-2.6666666666666625E-4</v>
      </c>
      <c r="G264" s="114">
        <f t="shared" si="103"/>
        <v>761.53846153846143</v>
      </c>
      <c r="H264" s="115">
        <f t="shared" si="96"/>
        <v>50.896009876543161</v>
      </c>
      <c r="I264" s="115">
        <f t="shared" si="97"/>
        <v>96.632206913580092</v>
      </c>
      <c r="J264" s="115">
        <f t="shared" si="94"/>
        <v>0.87600705467372053</v>
      </c>
      <c r="K264" s="115">
        <f t="shared" si="104"/>
        <v>0.45753700452590762</v>
      </c>
      <c r="L264" s="96">
        <f t="shared" si="78"/>
        <v>-737591.31866890797</v>
      </c>
      <c r="M264" s="96">
        <f t="shared" si="100"/>
        <v>-3460928.6716049351</v>
      </c>
      <c r="N264" s="96">
        <f t="shared" si="79"/>
        <v>-180387.75208801083</v>
      </c>
      <c r="O264" s="96">
        <f t="shared" si="85"/>
        <v>-4378907.7423618538</v>
      </c>
      <c r="P264" s="96">
        <f t="shared" si="98"/>
        <v>285635748.80149603</v>
      </c>
      <c r="Q264" s="97">
        <f t="shared" si="80"/>
        <v>1.1827009641044059</v>
      </c>
      <c r="R264" s="97">
        <f t="shared" si="81"/>
        <v>9.9962429470037556E-2</v>
      </c>
      <c r="S264" s="71">
        <f t="shared" si="82"/>
        <v>-9.9962429470037556E-2</v>
      </c>
      <c r="T264" s="71">
        <f t="shared" si="72"/>
        <v>-65.229907914760616</v>
      </c>
      <c r="U264" s="99">
        <f t="shared" si="73"/>
        <v>-9.9435835235915579E-2</v>
      </c>
      <c r="V264" s="93" t="str">
        <f t="shared" si="83"/>
        <v>SI</v>
      </c>
      <c r="W264" s="95">
        <f t="shared" si="74"/>
        <v>4378.9077423618537</v>
      </c>
      <c r="X264" s="95">
        <f t="shared" si="75"/>
        <v>285.63574880149605</v>
      </c>
      <c r="Y264" s="95">
        <f t="shared" si="76"/>
        <v>-285.63574880149605</v>
      </c>
      <c r="Z264" s="95">
        <f t="shared" si="77"/>
        <v>-917.97907075691876</v>
      </c>
      <c r="AA264" s="93" t="str">
        <f t="shared" si="84"/>
        <v/>
      </c>
      <c r="AB264" s="100"/>
      <c r="AC264" s="71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</row>
    <row r="265" spans="1:46" ht="18.75" x14ac:dyDescent="0.25">
      <c r="A265" s="39"/>
      <c r="B265" s="39"/>
      <c r="C265" s="111">
        <f t="shared" si="105"/>
        <v>-3.2000000000000006E-3</v>
      </c>
      <c r="D265" s="111">
        <f t="shared" si="99"/>
        <v>-5.7599999999999969E-4</v>
      </c>
      <c r="E265" s="111">
        <f t="shared" si="101"/>
        <v>-3.0240000000000002E-3</v>
      </c>
      <c r="F265" s="111">
        <f t="shared" si="102"/>
        <v>-3.9999999999999959E-4</v>
      </c>
      <c r="G265" s="114">
        <f t="shared" si="103"/>
        <v>799.99999999999989</v>
      </c>
      <c r="H265" s="115">
        <f t="shared" si="96"/>
        <v>52.433866666666617</v>
      </c>
      <c r="I265" s="115">
        <f t="shared" si="97"/>
        <v>97.142093333333179</v>
      </c>
      <c r="J265" s="115">
        <f t="shared" si="94"/>
        <v>0.90247619047618977</v>
      </c>
      <c r="K265" s="115">
        <f t="shared" si="104"/>
        <v>0.47066875716094825</v>
      </c>
      <c r="L265" s="96">
        <f t="shared" si="78"/>
        <v>-737591.31866890797</v>
      </c>
      <c r="M265" s="96">
        <f t="shared" si="100"/>
        <v>-3565502.9333333299</v>
      </c>
      <c r="N265" s="96">
        <f t="shared" si="79"/>
        <v>-227193.90350443358</v>
      </c>
      <c r="O265" s="96">
        <f t="shared" si="85"/>
        <v>-4530288.1555066705</v>
      </c>
      <c r="P265" s="96">
        <f t="shared" si="98"/>
        <v>240616794.84061342</v>
      </c>
      <c r="Q265" s="97">
        <f t="shared" si="80"/>
        <v>1.223587361148325</v>
      </c>
      <c r="R265" s="97">
        <f t="shared" si="81"/>
        <v>8.4207384700564269E-2</v>
      </c>
      <c r="S265" s="71">
        <f t="shared" si="82"/>
        <v>-8.4207384700564269E-2</v>
      </c>
      <c r="T265" s="71">
        <f t="shared" si="72"/>
        <v>-53.112911713604383</v>
      </c>
      <c r="U265" s="99">
        <f t="shared" si="73"/>
        <v>-8.0964804441470098E-2</v>
      </c>
      <c r="V265" s="93" t="str">
        <f t="shared" si="83"/>
        <v>SI</v>
      </c>
      <c r="W265" s="95">
        <f t="shared" si="74"/>
        <v>4530.2881555066706</v>
      </c>
      <c r="X265" s="95">
        <f t="shared" si="75"/>
        <v>240.61679484061344</v>
      </c>
      <c r="Y265" s="95">
        <f t="shared" si="76"/>
        <v>-240.61679484061344</v>
      </c>
      <c r="Z265" s="95">
        <f t="shared" si="77"/>
        <v>-964.78522217334159</v>
      </c>
      <c r="AA265" s="93" t="str">
        <f t="shared" si="84"/>
        <v/>
      </c>
      <c r="AB265" s="100"/>
      <c r="AC265" s="71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</row>
    <row r="266" spans="1:46" ht="18.75" x14ac:dyDescent="0.25">
      <c r="A266" s="39"/>
      <c r="B266" s="39"/>
      <c r="C266" s="111">
        <f t="shared" si="105"/>
        <v>-3.1000000000000008E-3</v>
      </c>
      <c r="D266" s="111">
        <f t="shared" si="99"/>
        <v>-6.9466666666666581E-4</v>
      </c>
      <c r="E266" s="111">
        <f t="shared" si="101"/>
        <v>-2.9386666666666667E-3</v>
      </c>
      <c r="F266" s="111">
        <f t="shared" si="102"/>
        <v>-5.3333333333333249E-4</v>
      </c>
      <c r="G266" s="114">
        <f t="shared" si="103"/>
        <v>845.45454545454515</v>
      </c>
      <c r="H266" s="115">
        <f t="shared" si="96"/>
        <v>53.73563456790118</v>
      </c>
      <c r="I266" s="115">
        <f t="shared" si="97"/>
        <v>97.747071111110955</v>
      </c>
      <c r="J266" s="115">
        <f t="shared" si="94"/>
        <v>0.92488183421516668</v>
      </c>
      <c r="K266" s="115">
        <f t="shared" si="104"/>
        <v>0.48027533632482478</v>
      </c>
      <c r="L266" s="96">
        <f t="shared" si="78"/>
        <v>-737591.31866890797</v>
      </c>
      <c r="M266" s="96">
        <f t="shared" si="100"/>
        <v>-3654023.15061728</v>
      </c>
      <c r="N266" s="96">
        <f t="shared" si="79"/>
        <v>-274000.05492085603</v>
      </c>
      <c r="O266" s="96">
        <f t="shared" si="85"/>
        <v>-4665614.5242070444</v>
      </c>
      <c r="P266" s="96">
        <f t="shared" si="98"/>
        <v>202509998.9044221</v>
      </c>
      <c r="Q266" s="97">
        <f t="shared" si="80"/>
        <v>1.2601377148318107</v>
      </c>
      <c r="R266" s="97">
        <f t="shared" si="81"/>
        <v>7.0871351248575409E-2</v>
      </c>
      <c r="S266" s="71">
        <f t="shared" si="82"/>
        <v>-7.0871351248575409E-2</v>
      </c>
      <c r="T266" s="71">
        <f t="shared" si="72"/>
        <v>-43.404785769102986</v>
      </c>
      <c r="U266" s="99">
        <f t="shared" si="73"/>
        <v>-6.6165831965096011E-2</v>
      </c>
      <c r="V266" s="93" t="str">
        <f t="shared" si="83"/>
        <v>SI</v>
      </c>
      <c r="W266" s="95">
        <f t="shared" si="74"/>
        <v>4665.6145242070443</v>
      </c>
      <c r="X266" s="95">
        <f t="shared" si="75"/>
        <v>202.5099989044221</v>
      </c>
      <c r="Y266" s="95">
        <f t="shared" si="76"/>
        <v>-202.5099989044221</v>
      </c>
      <c r="Z266" s="95">
        <f t="shared" si="77"/>
        <v>-1011.591373589764</v>
      </c>
      <c r="AA266" s="93" t="str">
        <f t="shared" si="84"/>
        <v/>
      </c>
      <c r="AB266" s="100"/>
      <c r="AC266" s="71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</row>
    <row r="267" spans="1:46" ht="18.75" x14ac:dyDescent="0.25">
      <c r="A267" s="39"/>
      <c r="B267" s="39"/>
      <c r="C267" s="111">
        <f t="shared" si="105"/>
        <v>-3.0000000000000009E-3</v>
      </c>
      <c r="D267" s="111">
        <f t="shared" si="99"/>
        <v>-8.1333333333333203E-4</v>
      </c>
      <c r="E267" s="111">
        <f t="shared" si="101"/>
        <v>-2.8533333333333336E-3</v>
      </c>
      <c r="F267" s="111">
        <f t="shared" si="102"/>
        <v>-6.6666666666666534E-4</v>
      </c>
      <c r="G267" s="114">
        <f t="shared" si="103"/>
        <v>899.99999999999943</v>
      </c>
      <c r="H267" s="115">
        <f t="shared" si="96"/>
        <v>54.82098765432093</v>
      </c>
      <c r="I267" s="115">
        <f t="shared" si="97"/>
        <v>98.39598765432082</v>
      </c>
      <c r="J267" s="115">
        <f t="shared" si="94"/>
        <v>0.94356261022927601</v>
      </c>
      <c r="K267" s="115">
        <f t="shared" si="104"/>
        <v>0.48718291054739693</v>
      </c>
      <c r="L267" s="96">
        <f t="shared" si="78"/>
        <v>-737591.31866890797</v>
      </c>
      <c r="M267" s="96">
        <f t="shared" si="100"/>
        <v>-3727827.1604938232</v>
      </c>
      <c r="N267" s="96">
        <f t="shared" si="79"/>
        <v>-320806.20633727853</v>
      </c>
      <c r="O267" s="96">
        <f t="shared" si="85"/>
        <v>-4786224.6855000099</v>
      </c>
      <c r="P267" s="96">
        <f t="shared" si="98"/>
        <v>170151442.77069938</v>
      </c>
      <c r="Q267" s="97">
        <f t="shared" si="80"/>
        <v>1.2927133621015656</v>
      </c>
      <c r="R267" s="97">
        <f t="shared" si="81"/>
        <v>5.9546998821255685E-2</v>
      </c>
      <c r="S267" s="71">
        <f t="shared" si="82"/>
        <v>-5.9546998821255685E-2</v>
      </c>
      <c r="T267" s="71">
        <f t="shared" si="72"/>
        <v>-35.550241359578777</v>
      </c>
      <c r="U267" s="99">
        <f t="shared" si="73"/>
        <v>-5.419244109691887E-2</v>
      </c>
      <c r="V267" s="93" t="str">
        <f t="shared" si="83"/>
        <v>SI</v>
      </c>
      <c r="W267" s="95">
        <f t="shared" si="74"/>
        <v>4786.2246855000103</v>
      </c>
      <c r="X267" s="95">
        <f t="shared" si="75"/>
        <v>170.15144277069939</v>
      </c>
      <c r="Y267" s="95">
        <f t="shared" si="76"/>
        <v>-170.15144277069939</v>
      </c>
      <c r="Z267" s="95">
        <f t="shared" si="77"/>
        <v>-1058.3975250061865</v>
      </c>
      <c r="AA267" s="93" t="str">
        <f t="shared" si="84"/>
        <v/>
      </c>
      <c r="AB267" s="100"/>
      <c r="AC267" s="71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</row>
    <row r="268" spans="1:46" ht="18.75" x14ac:dyDescent="0.25">
      <c r="A268" s="39"/>
      <c r="B268" s="39"/>
      <c r="C268" s="111">
        <f t="shared" si="105"/>
        <v>-2.9000000000000011E-3</v>
      </c>
      <c r="D268" s="111">
        <f t="shared" si="99"/>
        <v>-9.3199999999999902E-4</v>
      </c>
      <c r="E268" s="111">
        <f t="shared" si="101"/>
        <v>-2.7680000000000009E-3</v>
      </c>
      <c r="F268" s="111">
        <f t="shared" si="102"/>
        <v>-7.9999999999999895E-4</v>
      </c>
      <c r="G268" s="114">
        <f t="shared" si="103"/>
        <v>966.66666666666606</v>
      </c>
      <c r="H268" s="115">
        <f t="shared" si="96"/>
        <v>55.709599999999945</v>
      </c>
      <c r="I268" s="115">
        <f t="shared" si="97"/>
        <v>99.045559999999838</v>
      </c>
      <c r="J268" s="115">
        <f t="shared" si="94"/>
        <v>0.95885714285714196</v>
      </c>
      <c r="K268" s="115">
        <f t="shared" si="104"/>
        <v>0.49203132981440523</v>
      </c>
      <c r="L268" s="96">
        <f t="shared" si="78"/>
        <v>-737591.31866890797</v>
      </c>
      <c r="M268" s="96">
        <f t="shared" si="100"/>
        <v>-3788252.7999999956</v>
      </c>
      <c r="N268" s="96">
        <f t="shared" si="79"/>
        <v>-367612.35775370133</v>
      </c>
      <c r="O268" s="96">
        <f t="shared" si="85"/>
        <v>-4893456.4764226051</v>
      </c>
      <c r="P268" s="96">
        <f t="shared" si="98"/>
        <v>142484235.18018693</v>
      </c>
      <c r="Q268" s="97">
        <f t="shared" si="80"/>
        <v>1.3216756399042924</v>
      </c>
      <c r="R268" s="97">
        <f t="shared" si="81"/>
        <v>4.9864452784899739E-2</v>
      </c>
      <c r="S268" s="71">
        <f t="shared" si="82"/>
        <v>-4.9864452784899739E-2</v>
      </c>
      <c r="T268" s="71">
        <f t="shared" si="72"/>
        <v>-29.117298961725108</v>
      </c>
      <c r="U268" s="99">
        <f t="shared" si="73"/>
        <v>-4.4386126466044375E-2</v>
      </c>
      <c r="V268" s="93" t="str">
        <f t="shared" si="83"/>
        <v>SI</v>
      </c>
      <c r="W268" s="95">
        <f t="shared" si="74"/>
        <v>4893.4564764226052</v>
      </c>
      <c r="X268" s="95">
        <f t="shared" si="75"/>
        <v>142.48423518018691</v>
      </c>
      <c r="Y268" s="95">
        <f t="shared" si="76"/>
        <v>-142.48423518018691</v>
      </c>
      <c r="Z268" s="95">
        <f t="shared" si="77"/>
        <v>-1105.2036764226093</v>
      </c>
      <c r="AA268" s="93" t="str">
        <f t="shared" si="84"/>
        <v/>
      </c>
      <c r="AB268" s="100"/>
      <c r="AC268" s="71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</row>
    <row r="269" spans="1:46" ht="18.75" x14ac:dyDescent="0.25">
      <c r="A269" s="39"/>
      <c r="B269" s="39"/>
      <c r="C269" s="111">
        <f t="shared" si="105"/>
        <v>-2.8000000000000013E-3</v>
      </c>
      <c r="D269" s="111">
        <f t="shared" si="99"/>
        <v>-1.0506666666666655E-3</v>
      </c>
      <c r="E269" s="111">
        <f t="shared" si="101"/>
        <v>-2.6826666666666674E-3</v>
      </c>
      <c r="F269" s="111">
        <f t="shared" si="102"/>
        <v>-9.3333333333333202E-4</v>
      </c>
      <c r="G269" s="114">
        <f t="shared" si="103"/>
        <v>1049.9999999999991</v>
      </c>
      <c r="H269" s="115">
        <f t="shared" si="96"/>
        <v>56.421145679012298</v>
      </c>
      <c r="I269" s="115">
        <f t="shared" si="97"/>
        <v>99.660374814814645</v>
      </c>
      <c r="J269" s="115">
        <f t="shared" si="94"/>
        <v>0.97110405643738906</v>
      </c>
      <c r="K269" s="115">
        <f t="shared" si="104"/>
        <v>0.49532409415740131</v>
      </c>
      <c r="L269" s="96">
        <f t="shared" si="78"/>
        <v>-737591.31866890797</v>
      </c>
      <c r="M269" s="96">
        <f t="shared" si="100"/>
        <v>-3836637.9061728362</v>
      </c>
      <c r="N269" s="96">
        <f t="shared" si="79"/>
        <v>-414418.50917012396</v>
      </c>
      <c r="O269" s="96">
        <f t="shared" si="85"/>
        <v>-4988647.734011868</v>
      </c>
      <c r="P269" s="96">
        <f t="shared" si="98"/>
        <v>118558511.83658767</v>
      </c>
      <c r="Q269" s="97">
        <f t="shared" si="80"/>
        <v>1.3473858851866944</v>
      </c>
      <c r="R269" s="97">
        <f t="shared" si="81"/>
        <v>4.1491294164911041E-2</v>
      </c>
      <c r="S269" s="71">
        <f t="shared" si="82"/>
        <v>-4.1491294164911041E-2</v>
      </c>
      <c r="T269" s="71">
        <f t="shared" si="72"/>
        <v>-23.765661188757253</v>
      </c>
      <c r="U269" s="99">
        <f t="shared" si="73"/>
        <v>-3.6228142056032399E-2</v>
      </c>
      <c r="V269" s="93" t="str">
        <f t="shared" si="83"/>
        <v>SI</v>
      </c>
      <c r="W269" s="95">
        <f t="shared" si="74"/>
        <v>4988.6477340118681</v>
      </c>
      <c r="X269" s="95">
        <f t="shared" si="75"/>
        <v>118.55851183658767</v>
      </c>
      <c r="Y269" s="95">
        <f t="shared" si="76"/>
        <v>-118.55851183658767</v>
      </c>
      <c r="Z269" s="95">
        <f t="shared" si="77"/>
        <v>-1152.0098278390319</v>
      </c>
      <c r="AA269" s="93" t="str">
        <f t="shared" si="84"/>
        <v/>
      </c>
      <c r="AB269" s="100"/>
      <c r="AC269" s="71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</row>
    <row r="270" spans="1:46" ht="18.75" x14ac:dyDescent="0.25">
      <c r="A270" s="39"/>
      <c r="B270" s="39"/>
      <c r="C270" s="111">
        <f t="shared" si="105"/>
        <v>-2.7000000000000014E-3</v>
      </c>
      <c r="D270" s="111">
        <f t="shared" si="99"/>
        <v>-1.1693333333333321E-3</v>
      </c>
      <c r="E270" s="111">
        <f t="shared" si="101"/>
        <v>-2.5973333333333343E-3</v>
      </c>
      <c r="F270" s="111">
        <f t="shared" si="102"/>
        <v>-1.0666666666666652E-3</v>
      </c>
      <c r="G270" s="114">
        <f t="shared" si="103"/>
        <v>1157.1428571428557</v>
      </c>
      <c r="H270" s="115">
        <f t="shared" si="96"/>
        <v>56.975298765432044</v>
      </c>
      <c r="I270" s="115">
        <f t="shared" si="97"/>
        <v>100.21288839506155</v>
      </c>
      <c r="J270" s="115">
        <f t="shared" si="94"/>
        <v>0.98064197530864117</v>
      </c>
      <c r="K270" s="115">
        <f t="shared" si="104"/>
        <v>0.49746198005841513</v>
      </c>
      <c r="L270" s="96">
        <f t="shared" si="78"/>
        <v>-737591.31866890797</v>
      </c>
      <c r="M270" s="96">
        <f t="shared" si="100"/>
        <v>-3874320.3160493793</v>
      </c>
      <c r="N270" s="96">
        <f t="shared" si="79"/>
        <v>-461224.66058654658</v>
      </c>
      <c r="O270" s="96">
        <f t="shared" si="85"/>
        <v>-5073136.2953048339</v>
      </c>
      <c r="P270" s="96">
        <f t="shared" si="98"/>
        <v>97531435.406569004</v>
      </c>
      <c r="Q270" s="97">
        <f t="shared" si="80"/>
        <v>1.3702054348954738</v>
      </c>
      <c r="R270" s="97">
        <f t="shared" si="81"/>
        <v>3.4132559645803043E-2</v>
      </c>
      <c r="S270" s="71">
        <f t="shared" si="82"/>
        <v>-3.4132559645803043E-2</v>
      </c>
      <c r="T270" s="71">
        <f t="shared" si="72"/>
        <v>-19.225076901015637</v>
      </c>
      <c r="U270" s="99">
        <f t="shared" si="73"/>
        <v>-2.9306519666182373E-2</v>
      </c>
      <c r="V270" s="93" t="str">
        <f t="shared" si="83"/>
        <v>SI</v>
      </c>
      <c r="W270" s="95">
        <f t="shared" si="74"/>
        <v>5073.1362953048338</v>
      </c>
      <c r="X270" s="95">
        <f t="shared" si="75"/>
        <v>97.531435406569003</v>
      </c>
      <c r="Y270" s="95">
        <f t="shared" si="76"/>
        <v>-97.531435406569003</v>
      </c>
      <c r="Z270" s="95">
        <f t="shared" si="77"/>
        <v>-1198.8159792554545</v>
      </c>
      <c r="AA270" s="93" t="str">
        <f t="shared" si="84"/>
        <v/>
      </c>
      <c r="AB270" s="100"/>
      <c r="AC270" s="71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</row>
    <row r="271" spans="1:46" ht="18.75" x14ac:dyDescent="0.25">
      <c r="A271" s="39"/>
      <c r="B271" s="39"/>
      <c r="C271" s="111">
        <f t="shared" si="105"/>
        <v>-2.6000000000000016E-3</v>
      </c>
      <c r="D271" s="111">
        <f t="shared" si="99"/>
        <v>-1.2879999999999983E-3</v>
      </c>
      <c r="E271" s="111">
        <f t="shared" si="101"/>
        <v>-2.5120000000000012E-3</v>
      </c>
      <c r="F271" s="111">
        <f t="shared" si="102"/>
        <v>-1.1999999999999979E-3</v>
      </c>
      <c r="G271" s="114">
        <f t="shared" si="103"/>
        <v>1299.9999999999975</v>
      </c>
      <c r="H271" s="115">
        <f t="shared" si="96"/>
        <v>57.391733333333278</v>
      </c>
      <c r="I271" s="115">
        <f t="shared" si="97"/>
        <v>100.68342666666651</v>
      </c>
      <c r="J271" s="115">
        <f t="shared" si="94"/>
        <v>0.98780952380952292</v>
      </c>
      <c r="K271" s="115">
        <f t="shared" si="104"/>
        <v>0.49876590821442379</v>
      </c>
      <c r="L271" s="96">
        <f t="shared" si="78"/>
        <v>-737591.31866890797</v>
      </c>
      <c r="M271" s="96">
        <f t="shared" si="100"/>
        <v>-3902637.8666666625</v>
      </c>
      <c r="N271" s="96">
        <f t="shared" si="79"/>
        <v>-508030.81200296909</v>
      </c>
      <c r="O271" s="96">
        <f t="shared" si="85"/>
        <v>-5148259.9973385399</v>
      </c>
      <c r="P271" s="96">
        <f t="shared" si="98"/>
        <v>78667195.51976043</v>
      </c>
      <c r="Q271" s="97">
        <f t="shared" si="80"/>
        <v>1.3904956259773333</v>
      </c>
      <c r="R271" s="97">
        <f t="shared" si="81"/>
        <v>2.7530741571198319E-2</v>
      </c>
      <c r="S271" s="71">
        <f t="shared" si="82"/>
        <v>-2.7530741571198319E-2</v>
      </c>
      <c r="T271" s="99">
        <f t="shared" si="72"/>
        <v>-15.280346284070436</v>
      </c>
      <c r="U271" s="99">
        <f t="shared" si="73"/>
        <v>-2.329321079888786E-2</v>
      </c>
      <c r="V271" s="93" t="str">
        <f t="shared" si="83"/>
        <v>SI</v>
      </c>
      <c r="W271" s="95">
        <f t="shared" si="74"/>
        <v>5148.2599973385395</v>
      </c>
      <c r="X271" s="95">
        <f t="shared" si="75"/>
        <v>78.667195519760426</v>
      </c>
      <c r="Y271" s="95">
        <f t="shared" si="76"/>
        <v>-78.667195519760426</v>
      </c>
      <c r="Z271" s="95">
        <f t="shared" si="77"/>
        <v>-1245.6221306718769</v>
      </c>
      <c r="AA271" s="93" t="str">
        <f t="shared" si="84"/>
        <v/>
      </c>
      <c r="AB271" s="100"/>
      <c r="AC271" s="71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</row>
    <row r="272" spans="1:46" ht="18.75" x14ac:dyDescent="0.25">
      <c r="A272" s="39"/>
      <c r="B272" s="39"/>
      <c r="C272" s="111">
        <f t="shared" si="105"/>
        <v>-2.5000000000000018E-3</v>
      </c>
      <c r="D272" s="111">
        <f t="shared" si="99"/>
        <v>-1.4066666666666648E-3</v>
      </c>
      <c r="E272" s="111">
        <f t="shared" si="101"/>
        <v>-2.4266666666666681E-3</v>
      </c>
      <c r="F272" s="111">
        <f t="shared" si="102"/>
        <v>-1.3333333333333311E-3</v>
      </c>
      <c r="G272" s="114">
        <f t="shared" si="103"/>
        <v>1499.9999999999959</v>
      </c>
      <c r="H272" s="115">
        <f t="shared" si="96"/>
        <v>57.690123456790076</v>
      </c>
      <c r="I272" s="115">
        <f t="shared" si="97"/>
        <v>101.06018518518502</v>
      </c>
      <c r="J272" s="115">
        <f t="shared" si="94"/>
        <v>0.99294532627865884</v>
      </c>
      <c r="K272" s="115">
        <f t="shared" si="104"/>
        <v>0.49949251459020594</v>
      </c>
      <c r="L272" s="96">
        <f t="shared" si="78"/>
        <v>-737591.31866890797</v>
      </c>
      <c r="M272" s="96">
        <f t="shared" si="100"/>
        <v>-3922928.3950617248</v>
      </c>
      <c r="N272" s="96">
        <f t="shared" si="79"/>
        <v>-554836.96341939166</v>
      </c>
      <c r="O272" s="96">
        <f t="shared" si="85"/>
        <v>-5215356.677150025</v>
      </c>
      <c r="P272" s="96">
        <f t="shared" si="98"/>
        <v>61337008.768753916</v>
      </c>
      <c r="Q272" s="97">
        <f t="shared" si="80"/>
        <v>1.4086177953789765</v>
      </c>
      <c r="R272" s="97">
        <f t="shared" si="81"/>
        <v>2.1465787943828706E-2</v>
      </c>
      <c r="S272" s="71">
        <f t="shared" si="82"/>
        <v>-2.1465787943828706E-2</v>
      </c>
      <c r="T272" s="99">
        <f t="shared" si="72"/>
        <v>-11.760846393783375</v>
      </c>
      <c r="U272" s="99">
        <f t="shared" si="73"/>
        <v>-1.7928119502718561E-2</v>
      </c>
      <c r="V272" s="93" t="str">
        <f t="shared" si="83"/>
        <v>SI</v>
      </c>
      <c r="W272" s="95">
        <f t="shared" si="74"/>
        <v>5215.3566771500255</v>
      </c>
      <c r="X272" s="95">
        <f t="shared" si="75"/>
        <v>61.337008768753918</v>
      </c>
      <c r="Y272" s="95">
        <f t="shared" si="76"/>
        <v>-61.337008768753918</v>
      </c>
      <c r="Z272" s="95">
        <f t="shared" si="77"/>
        <v>-1292.4282820882997</v>
      </c>
      <c r="AA272" s="93" t="str">
        <f t="shared" si="84"/>
        <v/>
      </c>
      <c r="AB272" s="100"/>
      <c r="AC272" s="71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</row>
    <row r="273" spans="1:46" ht="18.75" x14ac:dyDescent="0.25">
      <c r="A273" s="39"/>
      <c r="B273" s="39"/>
      <c r="C273" s="111">
        <f t="shared" si="105"/>
        <v>-2.400000000000002E-3</v>
      </c>
      <c r="D273" s="111">
        <f t="shared" si="99"/>
        <v>-1.5253333333333312E-3</v>
      </c>
      <c r="E273" s="111">
        <f t="shared" si="101"/>
        <v>-2.341333333333335E-3</v>
      </c>
      <c r="F273" s="111">
        <f t="shared" si="102"/>
        <v>-1.4666666666666643E-3</v>
      </c>
      <c r="G273" s="114">
        <f t="shared" si="103"/>
        <v>1799.9999999999932</v>
      </c>
      <c r="H273" s="115">
        <f t="shared" si="96"/>
        <v>57.890143209876499</v>
      </c>
      <c r="I273" s="115">
        <f t="shared" si="97"/>
        <v>101.33922913580231</v>
      </c>
      <c r="J273" s="115">
        <f t="shared" si="94"/>
        <v>0.99638800705467301</v>
      </c>
      <c r="K273" s="115">
        <f t="shared" si="104"/>
        <v>0.49984463914001331</v>
      </c>
      <c r="L273" s="96">
        <f t="shared" si="78"/>
        <v>-737591.31866890797</v>
      </c>
      <c r="M273" s="96">
        <f t="shared" si="100"/>
        <v>-3936529.738271601</v>
      </c>
      <c r="N273" s="96">
        <f t="shared" si="79"/>
        <v>-601643.11483581434</v>
      </c>
      <c r="O273" s="96">
        <f t="shared" si="85"/>
        <v>-5275764.1717763236</v>
      </c>
      <c r="P273" s="96">
        <f t="shared" si="98"/>
        <v>45019118.709105372</v>
      </c>
      <c r="Q273" s="97">
        <f t="shared" si="80"/>
        <v>1.4249332800471051</v>
      </c>
      <c r="R273" s="97">
        <f t="shared" si="81"/>
        <v>1.5755102425535832E-2</v>
      </c>
      <c r="S273" s="71">
        <f t="shared" si="82"/>
        <v>-1.5755102425535832E-2</v>
      </c>
      <c r="T273" s="99">
        <f t="shared" si="72"/>
        <v>-8.5331939114988256</v>
      </c>
      <c r="U273" s="99">
        <f t="shared" si="73"/>
        <v>-1.3007917548016503E-2</v>
      </c>
      <c r="V273" s="93" t="str">
        <f t="shared" si="83"/>
        <v>SI</v>
      </c>
      <c r="W273" s="95">
        <f t="shared" si="74"/>
        <v>5275.7641717763236</v>
      </c>
      <c r="X273" s="95">
        <f t="shared" si="75"/>
        <v>45.019118709105371</v>
      </c>
      <c r="Y273" s="95">
        <f t="shared" si="76"/>
        <v>-45.019118709105371</v>
      </c>
      <c r="Z273" s="95">
        <f t="shared" si="77"/>
        <v>-1339.2344335047223</v>
      </c>
      <c r="AA273" s="93" t="str">
        <f t="shared" si="84"/>
        <v/>
      </c>
      <c r="AB273" s="100"/>
      <c r="AC273" s="71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</row>
    <row r="274" spans="1:46" ht="18.75" x14ac:dyDescent="0.25">
      <c r="A274" s="39"/>
      <c r="B274" s="39"/>
      <c r="C274" s="111">
        <f t="shared" si="105"/>
        <v>-2.3000000000000021E-3</v>
      </c>
      <c r="D274" s="111">
        <f t="shared" si="99"/>
        <v>-1.6439999999999975E-3</v>
      </c>
      <c r="E274" s="111">
        <f t="shared" si="101"/>
        <v>-2.2560000000000019E-3</v>
      </c>
      <c r="F274" s="111">
        <f t="shared" si="102"/>
        <v>-1.5999999999999973E-3</v>
      </c>
      <c r="G274" s="114">
        <f t="shared" si="103"/>
        <v>2299.9999999999859</v>
      </c>
      <c r="H274" s="115">
        <f t="shared" si="96"/>
        <v>58.011466666666621</v>
      </c>
      <c r="I274" s="115">
        <f t="shared" si="97"/>
        <v>101.52449333333317</v>
      </c>
      <c r="J274" s="115">
        <f t="shared" si="94"/>
        <v>0.99847619047618974</v>
      </c>
      <c r="K274" s="115">
        <f t="shared" si="104"/>
        <v>0.49997819807052968</v>
      </c>
      <c r="L274" s="96">
        <f t="shared" si="78"/>
        <v>-737591.31866890797</v>
      </c>
      <c r="M274" s="96">
        <f t="shared" si="100"/>
        <v>-3944779.7333333297</v>
      </c>
      <c r="N274" s="96">
        <f t="shared" si="79"/>
        <v>-648449.26625223679</v>
      </c>
      <c r="O274" s="96">
        <f t="shared" si="85"/>
        <v>-5330820.3182544746</v>
      </c>
      <c r="P274" s="96">
        <f t="shared" si="98"/>
        <v>29298795.859333545</v>
      </c>
      <c r="Q274" s="97">
        <f t="shared" si="80"/>
        <v>1.4398034169284228</v>
      </c>
      <c r="R274" s="97">
        <f t="shared" si="81"/>
        <v>1.0253544337270708E-2</v>
      </c>
      <c r="S274" s="71">
        <f t="shared" si="82"/>
        <v>-1.0253544337270708E-2</v>
      </c>
      <c r="T274" s="99">
        <f t="shared" si="72"/>
        <v>-5.4961139393509235</v>
      </c>
      <c r="U274" s="99">
        <f t="shared" si="73"/>
        <v>-8.3782224685227495E-3</v>
      </c>
      <c r="V274" s="93" t="str">
        <f t="shared" si="83"/>
        <v>SI</v>
      </c>
      <c r="W274" s="95">
        <f t="shared" si="74"/>
        <v>5330.8203182544748</v>
      </c>
      <c r="X274" s="95">
        <f t="shared" si="75"/>
        <v>29.298795859333545</v>
      </c>
      <c r="Y274" s="95">
        <f t="shared" si="76"/>
        <v>-29.298795859333545</v>
      </c>
      <c r="Z274" s="95">
        <f t="shared" si="77"/>
        <v>-1386.040584921145</v>
      </c>
      <c r="AA274" s="93" t="str">
        <f t="shared" si="84"/>
        <v/>
      </c>
      <c r="AB274" s="100"/>
      <c r="AC274" s="71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</row>
    <row r="275" spans="1:46" ht="18.75" x14ac:dyDescent="0.25">
      <c r="A275" s="39"/>
      <c r="B275" s="39"/>
      <c r="C275" s="111">
        <f t="shared" si="105"/>
        <v>-2.2000000000000023E-3</v>
      </c>
      <c r="D275" s="111">
        <f t="shared" si="99"/>
        <v>-1.7626666666666639E-3</v>
      </c>
      <c r="E275" s="111">
        <f t="shared" si="101"/>
        <v>-2.1706666666666688E-3</v>
      </c>
      <c r="F275" s="111">
        <f t="shared" si="102"/>
        <v>-1.7333333333333302E-3</v>
      </c>
      <c r="G275" s="114">
        <f t="shared" si="103"/>
        <v>3299.9999999999659</v>
      </c>
      <c r="H275" s="115">
        <f t="shared" si="96"/>
        <v>58.073767901234518</v>
      </c>
      <c r="I275" s="115">
        <f t="shared" si="97"/>
        <v>101.62778222222207</v>
      </c>
      <c r="J275" s="115">
        <f t="shared" si="94"/>
        <v>0.99954850088183345</v>
      </c>
      <c r="K275" s="115">
        <f t="shared" si="104"/>
        <v>0.50000645290088175</v>
      </c>
      <c r="L275" s="96">
        <f t="shared" si="78"/>
        <v>-737591.31866890797</v>
      </c>
      <c r="M275" s="116">
        <f t="shared" si="100"/>
        <v>-3949016.2172839469</v>
      </c>
      <c r="N275" s="96">
        <f t="shared" si="79"/>
        <v>-695255.41766865936</v>
      </c>
      <c r="O275" s="116">
        <f t="shared" si="85"/>
        <v>-5381862.9536215141</v>
      </c>
      <c r="P275" s="116">
        <f t="shared" si="98"/>
        <v>13868337.700920075</v>
      </c>
      <c r="Q275" s="97">
        <f t="shared" si="80"/>
        <v>1.4535895429696319</v>
      </c>
      <c r="R275" s="97">
        <f t="shared" si="81"/>
        <v>4.853428659093756E-3</v>
      </c>
      <c r="S275" s="71">
        <f t="shared" si="82"/>
        <v>-4.853428659093756E-3</v>
      </c>
      <c r="T275" s="99">
        <f t="shared" si="72"/>
        <v>-2.576865635641636</v>
      </c>
      <c r="U275" s="99">
        <f t="shared" si="73"/>
        <v>-3.928148834819567E-3</v>
      </c>
      <c r="V275" s="93" t="str">
        <f t="shared" si="83"/>
        <v>SI</v>
      </c>
      <c r="W275" s="95">
        <f t="shared" si="74"/>
        <v>5381.862953621514</v>
      </c>
      <c r="X275" s="95">
        <f t="shared" si="75"/>
        <v>13.868337700920074</v>
      </c>
      <c r="Y275" s="95">
        <f t="shared" si="76"/>
        <v>-13.868337700920074</v>
      </c>
      <c r="Z275" s="95">
        <f t="shared" si="77"/>
        <v>-1432.8467363375671</v>
      </c>
      <c r="AA275" s="93" t="str">
        <f t="shared" si="84"/>
        <v/>
      </c>
      <c r="AB275" s="100"/>
      <c r="AC275" s="71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</row>
    <row r="276" spans="1:46" ht="18.75" x14ac:dyDescent="0.25">
      <c r="A276" s="39"/>
      <c r="B276" s="39"/>
      <c r="C276" s="111">
        <f t="shared" si="105"/>
        <v>-2.1000000000000025E-3</v>
      </c>
      <c r="D276" s="111">
        <f t="shared" si="99"/>
        <v>-1.8813333333333306E-3</v>
      </c>
      <c r="E276" s="111">
        <f t="shared" si="101"/>
        <v>-2.0853333333333357E-3</v>
      </c>
      <c r="F276" s="111">
        <f t="shared" si="102"/>
        <v>-1.8666666666666634E-3</v>
      </c>
      <c r="G276" s="114">
        <f t="shared" si="103"/>
        <v>6299.9999999998545</v>
      </c>
      <c r="H276" s="115">
        <f t="shared" si="96"/>
        <v>58.096720987654273</v>
      </c>
      <c r="I276" s="115">
        <f t="shared" si="97"/>
        <v>101.66876987654305</v>
      </c>
      <c r="J276" s="115">
        <f t="shared" si="94"/>
        <v>0.99994356261022854</v>
      </c>
      <c r="K276" s="115">
        <f t="shared" si="104"/>
        <v>0.50000241888179164</v>
      </c>
      <c r="L276" s="96">
        <f t="shared" si="78"/>
        <v>-737591.31866890797</v>
      </c>
      <c r="M276" s="116">
        <f t="shared" si="100"/>
        <v>-3950577.0271604904</v>
      </c>
      <c r="N276" s="96">
        <f t="shared" si="79"/>
        <v>-737591.31866890797</v>
      </c>
      <c r="O276" s="116">
        <f t="shared" si="85"/>
        <v>-5425759.6644983068</v>
      </c>
      <c r="P276" s="116">
        <f t="shared" si="98"/>
        <v>-6689.1851863265038</v>
      </c>
      <c r="Q276" s="97">
        <f t="shared" si="80"/>
        <v>1.4654456233735988</v>
      </c>
      <c r="R276" s="97">
        <f t="shared" si="81"/>
        <v>-2.3409786947392104E-6</v>
      </c>
      <c r="S276" s="71">
        <f t="shared" si="82"/>
        <v>2.3409786947392104E-6</v>
      </c>
      <c r="T276" s="99">
        <f t="shared" si="72"/>
        <v>1.2328568900858271E-3</v>
      </c>
      <c r="U276" s="99">
        <f t="shared" si="73"/>
        <v>1.8793550153747364E-6</v>
      </c>
      <c r="V276" s="93" t="str">
        <f t="shared" si="83"/>
        <v>SI</v>
      </c>
      <c r="W276" s="95">
        <f t="shared" si="74"/>
        <v>5425.7596644983068</v>
      </c>
      <c r="X276" s="95">
        <f t="shared" si="75"/>
        <v>-6.689185186326504E-3</v>
      </c>
      <c r="Y276" s="95">
        <f t="shared" si="76"/>
        <v>6.689185186326504E-3</v>
      </c>
      <c r="Z276" s="95">
        <f t="shared" si="77"/>
        <v>-1475.182637337816</v>
      </c>
      <c r="AA276" s="93" t="str">
        <f t="shared" si="84"/>
        <v/>
      </c>
      <c r="AB276" s="100"/>
      <c r="AC276" s="71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</row>
    <row r="277" spans="1:46" ht="19.5" thickBot="1" x14ac:dyDescent="0.3">
      <c r="A277" s="39"/>
      <c r="B277" s="39"/>
      <c r="C277" s="145">
        <f t="shared" si="105"/>
        <v>-2.0000000000000026E-3</v>
      </c>
      <c r="D277" s="145">
        <f t="shared" si="99"/>
        <v>-1.9999999999999966E-3</v>
      </c>
      <c r="E277" s="145">
        <f>(G277-$C$10)/(G277-$C$8+($I$14*10^-3)*$C$8/($I$12*10^-3))*($I$14*10^-3)</f>
        <v>-2.0000000000000022E-3</v>
      </c>
      <c r="F277" s="145">
        <f>(G277-$C$8)/(G277-$C$8+($I$14*10^-3)*$C$8/($I$12*10^-3))*($I$14*10^-3)</f>
        <v>-1.9999999999999966E-3</v>
      </c>
      <c r="G277" s="146">
        <f t="shared" si="103"/>
        <v>2.305843009213697E+17</v>
      </c>
      <c r="H277" s="147">
        <f t="shared" si="96"/>
        <v>58.099999999999959</v>
      </c>
      <c r="I277" s="147">
        <f t="shared" si="97"/>
        <v>101.67499999999984</v>
      </c>
      <c r="J277" s="147">
        <f t="shared" si="94"/>
        <v>0.99999999999999933</v>
      </c>
      <c r="K277" s="147">
        <f t="shared" si="104"/>
        <v>0.50000000000000044</v>
      </c>
      <c r="L277" s="148">
        <f t="shared" si="78"/>
        <v>-737591.31866890797</v>
      </c>
      <c r="M277" s="148">
        <f t="shared" si="100"/>
        <v>-3950799.9999999967</v>
      </c>
      <c r="N277" s="148">
        <f t="shared" si="79"/>
        <v>-737591.31866890797</v>
      </c>
      <c r="O277" s="148">
        <f>L277+M277+N277</f>
        <v>-5425982.6373378132</v>
      </c>
      <c r="P277" s="148">
        <f t="shared" si="98"/>
        <v>-1.1324882507324219E-6</v>
      </c>
      <c r="Q277" s="149">
        <f t="shared" si="80"/>
        <v>1.4655058461980492</v>
      </c>
      <c r="R277" s="149">
        <f t="shared" si="81"/>
        <v>-3.9633091223521603E-16</v>
      </c>
      <c r="S277" s="147">
        <f t="shared" si="82"/>
        <v>3.9633091223521603E-16</v>
      </c>
      <c r="T277" s="150">
        <f>P277/O277</f>
        <v>2.0871578964138785E-13</v>
      </c>
      <c r="U277" s="150">
        <f>T277/$C$13</f>
        <v>3.1816431347772539E-16</v>
      </c>
      <c r="V277" s="151" t="str">
        <f t="shared" si="83"/>
        <v>SI</v>
      </c>
      <c r="W277" s="146">
        <f t="shared" si="74"/>
        <v>5425.9826373378128</v>
      </c>
      <c r="X277" s="146">
        <f t="shared" si="75"/>
        <v>-1.1324882507324219E-12</v>
      </c>
      <c r="Y277" s="146">
        <f t="shared" si="76"/>
        <v>1.1324882507324219E-12</v>
      </c>
      <c r="Z277" s="146">
        <f t="shared" si="77"/>
        <v>-1475.182637337816</v>
      </c>
      <c r="AA277" s="151" t="str">
        <f t="shared" si="84"/>
        <v/>
      </c>
      <c r="AB277" s="100"/>
      <c r="AC277" s="71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</row>
    <row r="278" spans="1:46" ht="18.75" x14ac:dyDescent="0.25">
      <c r="A278" s="39"/>
      <c r="B278" s="39"/>
      <c r="C278" s="113"/>
      <c r="D278" s="94"/>
      <c r="E278" s="94"/>
      <c r="F278" s="136"/>
      <c r="G278" s="95"/>
      <c r="H278" s="115"/>
      <c r="I278" s="115"/>
      <c r="J278" s="71"/>
      <c r="K278" s="71"/>
      <c r="L278" s="96"/>
      <c r="M278" s="96"/>
      <c r="N278" s="96"/>
      <c r="O278" s="96"/>
      <c r="P278" s="96"/>
      <c r="Q278" s="97"/>
      <c r="R278" s="97"/>
      <c r="S278" s="71"/>
      <c r="T278" s="99"/>
      <c r="U278" s="99"/>
      <c r="V278" s="93"/>
      <c r="W278" s="39"/>
      <c r="X278" s="152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</row>
    <row r="279" spans="1:46" ht="18.75" x14ac:dyDescent="0.25">
      <c r="A279" s="39"/>
      <c r="B279" s="39"/>
      <c r="C279" s="113"/>
      <c r="D279" s="94"/>
      <c r="E279" s="94"/>
      <c r="F279" s="136"/>
      <c r="G279" s="95"/>
      <c r="H279" s="115"/>
      <c r="I279" s="115"/>
      <c r="J279" s="71"/>
      <c r="K279" s="71"/>
      <c r="L279" s="96"/>
      <c r="M279" s="96"/>
      <c r="N279" s="96"/>
      <c r="O279" s="96"/>
      <c r="P279" s="96"/>
      <c r="Q279" s="97"/>
      <c r="R279" s="97"/>
      <c r="S279" s="71"/>
      <c r="T279" s="99"/>
      <c r="U279" s="99"/>
      <c r="V279" s="93"/>
      <c r="W279" s="39"/>
      <c r="X279" s="39"/>
      <c r="Y279" s="152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</row>
    <row r="280" spans="1:46" ht="36.75" x14ac:dyDescent="0.6">
      <c r="A280" s="39"/>
      <c r="B280" s="39"/>
      <c r="C280" s="113"/>
      <c r="D280" s="94"/>
      <c r="E280" s="94"/>
      <c r="F280" s="136"/>
      <c r="G280" s="95"/>
      <c r="H280" s="115"/>
      <c r="I280" s="115"/>
      <c r="J280" s="71"/>
      <c r="K280" s="71"/>
      <c r="L280" s="96"/>
      <c r="M280" s="96"/>
      <c r="N280" s="96"/>
      <c r="O280" s="96"/>
      <c r="P280" s="96"/>
      <c r="Q280" s="97"/>
      <c r="R280" s="97"/>
      <c r="S280" s="71"/>
      <c r="T280" s="99"/>
      <c r="U280" s="99"/>
      <c r="V280" s="93"/>
      <c r="W280" s="39"/>
      <c r="X280" s="39"/>
      <c r="Y280" s="152"/>
      <c r="Z280" s="39"/>
      <c r="AA280" s="153" t="s">
        <v>111</v>
      </c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</row>
    <row r="281" spans="1:46" ht="21" x14ac:dyDescent="0.35">
      <c r="A281" s="39"/>
      <c r="B281" s="39"/>
      <c r="C281" s="69" t="s">
        <v>112</v>
      </c>
      <c r="D281" s="39"/>
      <c r="E281" s="39"/>
      <c r="F281" s="39"/>
      <c r="G281" s="39"/>
      <c r="H281" s="115"/>
      <c r="I281" s="115"/>
      <c r="J281" s="71"/>
      <c r="K281" s="71"/>
      <c r="L281" s="96"/>
      <c r="M281" s="96"/>
      <c r="N281" s="96"/>
      <c r="O281" s="96"/>
      <c r="P281" s="96"/>
      <c r="Q281" s="97"/>
      <c r="R281" s="97"/>
      <c r="S281" s="71"/>
      <c r="T281" s="99"/>
      <c r="U281" s="99"/>
      <c r="V281" s="93"/>
      <c r="W281" s="39"/>
      <c r="X281" s="39"/>
      <c r="Y281" s="152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</row>
    <row r="282" spans="1:46" ht="18.75" x14ac:dyDescent="0.25">
      <c r="A282" s="39"/>
      <c r="B282" s="39"/>
      <c r="C282" s="39"/>
      <c r="D282" s="39"/>
      <c r="E282" s="39"/>
      <c r="F282" s="39"/>
      <c r="G282" s="39"/>
      <c r="H282" s="115"/>
      <c r="I282" s="115"/>
      <c r="J282" s="71"/>
      <c r="K282" s="71"/>
      <c r="L282" s="96"/>
      <c r="M282" s="96"/>
      <c r="N282" s="96"/>
      <c r="O282" s="96"/>
      <c r="P282" s="96"/>
      <c r="Q282" s="97"/>
      <c r="R282" s="97"/>
      <c r="S282" s="71"/>
      <c r="T282" s="99"/>
      <c r="U282" s="99"/>
      <c r="V282" s="93"/>
      <c r="W282" s="39"/>
      <c r="X282" s="39"/>
      <c r="Y282" s="152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</row>
    <row r="283" spans="1:46" ht="21" x14ac:dyDescent="0.35">
      <c r="A283" s="39"/>
      <c r="B283" s="39"/>
      <c r="C283" s="69" t="s">
        <v>113</v>
      </c>
      <c r="D283" s="39"/>
      <c r="E283" s="39"/>
      <c r="F283" s="39"/>
      <c r="G283" s="39"/>
      <c r="H283" s="115"/>
      <c r="I283" s="115"/>
      <c r="J283" s="71"/>
      <c r="K283" s="71"/>
      <c r="L283" s="96"/>
      <c r="M283" s="96"/>
      <c r="N283" s="96"/>
      <c r="O283" s="96"/>
      <c r="P283" s="96"/>
      <c r="Q283" s="97"/>
      <c r="R283" s="97"/>
      <c r="S283" s="71"/>
      <c r="T283" s="99"/>
      <c r="U283" s="99"/>
      <c r="V283" s="93"/>
      <c r="W283" s="39"/>
      <c r="X283" s="39"/>
      <c r="Y283" s="152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</row>
    <row r="284" spans="1:46" ht="18.75" x14ac:dyDescent="0.25">
      <c r="A284" s="39"/>
      <c r="B284" s="39"/>
      <c r="C284" s="39"/>
      <c r="D284" s="39"/>
      <c r="E284" s="39"/>
      <c r="F284" s="39"/>
      <c r="G284" s="39"/>
      <c r="H284" s="115"/>
      <c r="I284" s="115"/>
      <c r="J284" s="71"/>
      <c r="K284" s="71"/>
      <c r="L284" s="96"/>
      <c r="M284" s="96"/>
      <c r="N284" s="96"/>
      <c r="O284" s="96"/>
      <c r="P284" s="96"/>
      <c r="Q284" s="97"/>
      <c r="R284" s="97"/>
      <c r="S284" s="71"/>
      <c r="T284" s="99"/>
      <c r="U284" s="99"/>
      <c r="V284" s="93"/>
      <c r="W284" s="39"/>
      <c r="X284" s="39"/>
      <c r="Y284" s="152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</row>
    <row r="285" spans="1:46" ht="21" x14ac:dyDescent="0.35">
      <c r="A285" s="39"/>
      <c r="B285" s="39"/>
      <c r="C285" s="69" t="s">
        <v>114</v>
      </c>
      <c r="D285" s="39"/>
      <c r="E285" s="39"/>
      <c r="F285" s="39"/>
      <c r="G285" s="39"/>
      <c r="H285" s="115"/>
      <c r="I285" s="115"/>
      <c r="J285" s="71"/>
      <c r="K285" s="71"/>
      <c r="L285" s="96"/>
      <c r="M285" s="96"/>
      <c r="N285" s="96"/>
      <c r="O285" s="96"/>
      <c r="P285" s="96"/>
      <c r="Q285" s="97"/>
      <c r="R285" s="97"/>
      <c r="S285" s="71"/>
      <c r="T285" s="99"/>
      <c r="U285" s="99"/>
      <c r="V285" s="93"/>
      <c r="W285" s="39"/>
      <c r="X285" s="39"/>
      <c r="Y285" s="152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</row>
    <row r="286" spans="1:46" ht="18.75" x14ac:dyDescent="0.25">
      <c r="A286" s="39"/>
      <c r="B286" s="39"/>
      <c r="C286" s="39"/>
      <c r="D286" s="39"/>
      <c r="E286" s="39"/>
      <c r="F286" s="39"/>
      <c r="G286" s="39"/>
      <c r="H286" s="115"/>
      <c r="I286" s="115"/>
      <c r="J286" s="71"/>
      <c r="K286" s="71"/>
      <c r="L286" s="96"/>
      <c r="M286" s="96"/>
      <c r="N286" s="96"/>
      <c r="O286" s="96"/>
      <c r="P286" s="96"/>
      <c r="Q286" s="97"/>
      <c r="R286" s="97"/>
      <c r="S286" s="71"/>
      <c r="T286" s="99"/>
      <c r="U286" s="99"/>
      <c r="V286" s="93"/>
      <c r="W286" s="39"/>
      <c r="X286" s="39"/>
      <c r="Y286" s="152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</row>
    <row r="287" spans="1:46" ht="18.75" x14ac:dyDescent="0.25">
      <c r="A287" s="39"/>
      <c r="B287" s="39"/>
      <c r="C287" s="39"/>
      <c r="D287" s="39"/>
      <c r="E287" s="39"/>
      <c r="F287" s="39"/>
      <c r="G287" s="39"/>
      <c r="H287" s="115"/>
      <c r="I287" s="115"/>
      <c r="J287" s="71"/>
      <c r="K287" s="71"/>
      <c r="L287" s="96"/>
      <c r="M287" s="96"/>
      <c r="N287" s="96"/>
      <c r="O287" s="96"/>
      <c r="P287" s="96"/>
      <c r="Q287" s="97"/>
      <c r="R287" s="97"/>
      <c r="S287" s="71"/>
      <c r="T287" s="99"/>
      <c r="U287" s="99"/>
      <c r="V287" s="93"/>
      <c r="W287" s="39"/>
      <c r="X287" s="39"/>
      <c r="Y287" s="152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</row>
    <row r="288" spans="1:46" ht="18.75" x14ac:dyDescent="0.25">
      <c r="A288" s="39"/>
      <c r="B288" s="39"/>
      <c r="C288" s="93"/>
      <c r="D288" s="94"/>
      <c r="E288" s="94"/>
      <c r="F288" s="136"/>
      <c r="G288" s="39"/>
      <c r="H288" s="115"/>
      <c r="I288" s="115"/>
      <c r="J288" s="71"/>
      <c r="K288" s="71"/>
      <c r="L288" s="96"/>
      <c r="M288" s="96"/>
      <c r="N288" s="96"/>
      <c r="O288" s="96"/>
      <c r="P288" s="96"/>
      <c r="Q288" s="97"/>
      <c r="R288" s="97"/>
      <c r="S288" s="71"/>
      <c r="T288" s="99"/>
      <c r="U288" s="99"/>
      <c r="V288" s="93"/>
      <c r="W288" s="39"/>
      <c r="X288" s="39"/>
      <c r="Y288" s="152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</row>
    <row r="289" spans="1:46" ht="18.75" x14ac:dyDescent="0.25">
      <c r="A289" s="39"/>
      <c r="B289" s="39"/>
      <c r="C289" s="93"/>
      <c r="D289" s="94"/>
      <c r="E289" s="94"/>
      <c r="F289" s="136"/>
      <c r="G289" s="95"/>
      <c r="H289" s="115"/>
      <c r="I289" s="115"/>
      <c r="J289" s="71"/>
      <c r="K289" s="71"/>
      <c r="L289" s="96"/>
      <c r="M289" s="96"/>
      <c r="N289" s="96"/>
      <c r="O289" s="96"/>
      <c r="P289" s="96"/>
      <c r="Q289" s="97"/>
      <c r="R289" s="97"/>
      <c r="S289" s="71"/>
      <c r="T289" s="99"/>
      <c r="U289" s="99"/>
      <c r="V289" s="93"/>
      <c r="W289" s="39"/>
      <c r="X289" s="39"/>
      <c r="Y289" s="152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</row>
    <row r="290" spans="1:46" ht="18.75" x14ac:dyDescent="0.25">
      <c r="A290" s="39"/>
      <c r="B290" s="39"/>
      <c r="C290" s="93"/>
      <c r="D290" s="94"/>
      <c r="E290" s="94"/>
      <c r="F290" s="136"/>
      <c r="G290" s="95"/>
      <c r="H290" s="115"/>
      <c r="I290" s="115"/>
      <c r="J290" s="71"/>
      <c r="K290" s="71"/>
      <c r="L290" s="96"/>
      <c r="M290" s="96"/>
      <c r="N290" s="96"/>
      <c r="O290" s="96"/>
      <c r="P290" s="96"/>
      <c r="Q290" s="97"/>
      <c r="R290" s="97"/>
      <c r="S290" s="71"/>
      <c r="T290" s="99"/>
      <c r="U290" s="99"/>
      <c r="V290" s="93"/>
      <c r="W290" s="39"/>
      <c r="X290" s="39"/>
      <c r="Y290" s="152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</row>
    <row r="291" spans="1:46" ht="18.75" x14ac:dyDescent="0.25">
      <c r="A291" s="39"/>
      <c r="B291" s="39"/>
      <c r="C291" s="113"/>
      <c r="D291" s="111"/>
      <c r="E291" s="111"/>
      <c r="F291" s="136"/>
      <c r="G291" s="114"/>
      <c r="H291" s="115"/>
      <c r="I291" s="115"/>
      <c r="J291" s="115"/>
      <c r="K291" s="115"/>
      <c r="L291" s="116"/>
      <c r="M291" s="116"/>
      <c r="N291" s="116"/>
      <c r="O291" s="116"/>
      <c r="P291" s="116"/>
      <c r="Q291" s="117"/>
      <c r="R291" s="117"/>
      <c r="S291" s="115"/>
      <c r="T291" s="119"/>
      <c r="U291" s="119"/>
      <c r="V291" s="113"/>
      <c r="W291" s="41"/>
      <c r="X291" s="39"/>
      <c r="Y291" s="152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</row>
    <row r="292" spans="1:46" ht="18.75" x14ac:dyDescent="0.25">
      <c r="A292" s="39"/>
      <c r="B292" s="39"/>
      <c r="C292" s="113"/>
      <c r="D292" s="111"/>
      <c r="E292" s="111"/>
      <c r="F292" s="136"/>
      <c r="G292" s="114"/>
      <c r="H292" s="115"/>
      <c r="I292" s="115"/>
      <c r="J292" s="115"/>
      <c r="K292" s="115"/>
      <c r="L292" s="116"/>
      <c r="M292" s="116"/>
      <c r="N292" s="116"/>
      <c r="O292" s="116"/>
      <c r="P292" s="116"/>
      <c r="Q292" s="117"/>
      <c r="R292" s="117"/>
      <c r="S292" s="115"/>
      <c r="T292" s="119"/>
      <c r="U292" s="119"/>
      <c r="V292" s="113"/>
      <c r="W292" s="41"/>
      <c r="X292" s="39"/>
      <c r="Y292" s="152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</row>
    <row r="293" spans="1:46" ht="18.75" x14ac:dyDescent="0.25">
      <c r="A293" s="39"/>
      <c r="B293" s="39"/>
      <c r="C293" s="113"/>
      <c r="D293" s="111"/>
      <c r="E293" s="111"/>
      <c r="F293" s="136"/>
      <c r="G293" s="114"/>
      <c r="H293" s="115"/>
      <c r="I293" s="115"/>
      <c r="J293" s="115"/>
      <c r="K293" s="115"/>
      <c r="L293" s="116"/>
      <c r="M293" s="116"/>
      <c r="N293" s="116"/>
      <c r="O293" s="116"/>
      <c r="P293" s="116"/>
      <c r="Q293" s="117"/>
      <c r="R293" s="117"/>
      <c r="S293" s="115"/>
      <c r="T293" s="119"/>
      <c r="U293" s="119"/>
      <c r="V293" s="113"/>
      <c r="W293" s="41"/>
      <c r="X293" s="39"/>
      <c r="Y293" s="152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</row>
    <row r="294" spans="1:46" ht="18.75" x14ac:dyDescent="0.25">
      <c r="A294" s="39"/>
      <c r="B294" s="39"/>
      <c r="C294" s="113"/>
      <c r="D294" s="111"/>
      <c r="E294" s="111"/>
      <c r="F294" s="136"/>
      <c r="G294" s="39"/>
      <c r="H294" s="115"/>
      <c r="I294" s="115"/>
      <c r="J294" s="115"/>
      <c r="K294" s="115"/>
      <c r="L294" s="116"/>
      <c r="M294" s="116"/>
      <c r="N294" s="116"/>
      <c r="O294" s="116"/>
      <c r="P294" s="116"/>
      <c r="Q294" s="117"/>
      <c r="R294" s="117"/>
      <c r="S294" s="115"/>
      <c r="T294" s="119"/>
      <c r="U294" s="119"/>
      <c r="V294" s="113"/>
      <c r="W294" s="41"/>
      <c r="X294" s="39"/>
      <c r="Y294" s="152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</row>
    <row r="295" spans="1:46" x14ac:dyDescent="0.25">
      <c r="A295" s="39"/>
      <c r="B295" s="39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39"/>
      <c r="Y295" s="152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</row>
    <row r="296" spans="1:46" x14ac:dyDescent="0.25">
      <c r="A296" s="39"/>
      <c r="B296" s="39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39"/>
      <c r="Y296" s="152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</row>
    <row r="297" spans="1:46" x14ac:dyDescent="0.25">
      <c r="A297" s="39"/>
      <c r="B297" s="39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39"/>
      <c r="Y297" s="152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</row>
    <row r="298" spans="1:46" x14ac:dyDescent="0.25">
      <c r="A298" s="39"/>
      <c r="B298" s="39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39"/>
      <c r="Y298" s="152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</row>
    <row r="299" spans="1:46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152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</row>
    <row r="300" spans="1:46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152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</row>
    <row r="301" spans="1:46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152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</row>
    <row r="302" spans="1:46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152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</row>
    <row r="303" spans="1:46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152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</row>
    <row r="304" spans="1:46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152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</row>
    <row r="305" spans="1:46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152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</row>
    <row r="306" spans="1:46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152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</row>
    <row r="307" spans="1:46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152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</row>
    <row r="308" spans="1:46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152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</row>
    <row r="309" spans="1:46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152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</row>
    <row r="310" spans="1:46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152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</row>
    <row r="311" spans="1:46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152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</row>
    <row r="312" spans="1:46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152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</row>
    <row r="313" spans="1:46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152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</row>
    <row r="314" spans="1:46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152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</row>
    <row r="315" spans="1:46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152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</row>
    <row r="316" spans="1:46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152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</row>
    <row r="317" spans="1:46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152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</row>
    <row r="318" spans="1:46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152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</row>
    <row r="319" spans="1:46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152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</row>
    <row r="320" spans="1:46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152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</row>
    <row r="321" spans="1:46" ht="18.75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154"/>
      <c r="Y321" s="152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</row>
    <row r="322" spans="1:46" ht="18.75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154"/>
      <c r="Y322" s="152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</row>
    <row r="323" spans="1:46" ht="18.75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154"/>
      <c r="Y323" s="152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</row>
    <row r="324" spans="1:46" ht="18.75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154"/>
      <c r="Y324" s="152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</row>
    <row r="325" spans="1:46" ht="18.75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154"/>
      <c r="Y325" s="152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</row>
    <row r="326" spans="1:46" ht="18.75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154"/>
      <c r="Y326" s="152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</row>
    <row r="327" spans="1:46" ht="18.75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154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</row>
    <row r="328" spans="1:46" ht="18.75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54"/>
      <c r="Y328" s="152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</row>
    <row r="329" spans="1:46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155"/>
      <c r="Y329" s="152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</row>
    <row r="330" spans="1:46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155"/>
      <c r="Y330" s="152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</row>
    <row r="331" spans="1:46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55"/>
      <c r="Y331" s="152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</row>
    <row r="332" spans="1:46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152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</row>
    <row r="333" spans="1:46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155"/>
      <c r="Y333" s="152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</row>
    <row r="334" spans="1:46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155"/>
      <c r="Y334" s="152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</row>
    <row r="335" spans="1:46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155"/>
      <c r="Y335" s="152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</row>
    <row r="336" spans="1:46" ht="2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156"/>
      <c r="Y336" s="152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</row>
    <row r="337" spans="1:46" ht="18.75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157"/>
      <c r="Y337" s="152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</row>
    <row r="338" spans="1:46" ht="18.75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157"/>
      <c r="Y338" s="152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</row>
    <row r="339" spans="1:46" ht="18.75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157"/>
      <c r="Y339" s="152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</row>
    <row r="340" spans="1:46" ht="18.75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157"/>
      <c r="Y340" s="152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</row>
    <row r="341" spans="1:46" ht="18.75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157"/>
      <c r="Y341" s="152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</row>
    <row r="342" spans="1:46" ht="18.75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157"/>
      <c r="Y342" s="152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</row>
    <row r="343" spans="1:46" ht="18.75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157"/>
      <c r="Y343" s="152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</row>
    <row r="344" spans="1:46" ht="18.75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157"/>
      <c r="Y344" s="152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</row>
    <row r="345" spans="1:46" ht="18.75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157"/>
      <c r="Y345" s="152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</row>
    <row r="346" spans="1:46" ht="2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157"/>
      <c r="Y346" s="58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</row>
    <row r="347" spans="1:46" ht="18.75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157"/>
      <c r="Y347" s="152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</row>
    <row r="348" spans="1:46" ht="18.75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157"/>
      <c r="Y348" s="152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</row>
    <row r="349" spans="1:46" ht="18.75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154"/>
      <c r="Y349" s="152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</row>
    <row r="350" spans="1:46" ht="18.75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54"/>
      <c r="Y350" s="152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</row>
    <row r="351" spans="1:46" ht="2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58"/>
      <c r="Y351" s="152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</row>
    <row r="352" spans="1:46" ht="18.75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154"/>
      <c r="Y352" s="152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</row>
    <row r="353" spans="1:46" ht="18.75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154"/>
      <c r="Y353" s="152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</row>
    <row r="354" spans="1:46" ht="18.75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96"/>
      <c r="M354" s="96"/>
      <c r="N354" s="96"/>
      <c r="O354" s="95"/>
      <c r="P354" s="96"/>
      <c r="Q354" s="96"/>
      <c r="R354" s="71"/>
      <c r="S354" s="71"/>
      <c r="T354" s="71"/>
      <c r="U354" s="39"/>
      <c r="V354" s="39"/>
      <c r="W354" s="39"/>
      <c r="X354" s="154"/>
      <c r="Y354" s="152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</row>
    <row r="355" spans="1:46" ht="18.75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154"/>
      <c r="Y355" s="152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</row>
    <row r="356" spans="1:46" ht="18.75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154"/>
      <c r="Y356" s="152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</row>
    <row r="357" spans="1:46" ht="18.75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154"/>
      <c r="Y357" s="152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</row>
    <row r="358" spans="1:46" ht="18.75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154"/>
      <c r="Y358" s="152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</row>
    <row r="359" spans="1:46" ht="18.75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154"/>
      <c r="Y359" s="152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</row>
    <row r="360" spans="1:46" ht="18.75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154"/>
      <c r="Y360" s="152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</row>
    <row r="361" spans="1:46" ht="18.75" x14ac:dyDescent="0.25">
      <c r="A361" s="39"/>
      <c r="B361" s="39"/>
      <c r="C361" s="93"/>
      <c r="D361" s="94"/>
      <c r="E361" s="94"/>
      <c r="F361" s="95"/>
      <c r="G361" s="39"/>
      <c r="H361" s="39"/>
      <c r="I361" s="39"/>
      <c r="J361" s="39"/>
      <c r="K361" s="39"/>
      <c r="L361" s="96"/>
      <c r="M361" s="96"/>
      <c r="N361" s="96"/>
      <c r="O361" s="95"/>
      <c r="P361" s="96"/>
      <c r="Q361" s="96"/>
      <c r="R361" s="71"/>
      <c r="S361" s="71"/>
      <c r="T361" s="71"/>
      <c r="U361" s="39"/>
      <c r="V361" s="39"/>
      <c r="W361" s="39"/>
      <c r="X361" s="154"/>
      <c r="Y361" s="152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</row>
    <row r="362" spans="1:46" ht="18.75" x14ac:dyDescent="0.25">
      <c r="A362" s="39"/>
      <c r="B362" s="39"/>
      <c r="C362" s="93"/>
      <c r="D362" s="94"/>
      <c r="E362" s="94"/>
      <c r="F362" s="95"/>
      <c r="G362" s="39"/>
      <c r="H362" s="39"/>
      <c r="I362" s="39"/>
      <c r="J362" s="39"/>
      <c r="K362" s="39"/>
      <c r="L362" s="96"/>
      <c r="M362" s="96"/>
      <c r="N362" s="96"/>
      <c r="O362" s="95"/>
      <c r="P362" s="96"/>
      <c r="Q362" s="96"/>
      <c r="R362" s="71"/>
      <c r="S362" s="71"/>
      <c r="T362" s="71"/>
      <c r="U362" s="39"/>
      <c r="V362" s="39"/>
      <c r="W362" s="39"/>
      <c r="X362" s="154"/>
      <c r="Y362" s="152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</row>
    <row r="363" spans="1:46" ht="18.75" x14ac:dyDescent="0.25">
      <c r="A363" s="39"/>
      <c r="B363" s="39"/>
      <c r="C363" s="93"/>
      <c r="D363" s="94"/>
      <c r="E363" s="94"/>
      <c r="F363" s="95"/>
      <c r="G363" s="39"/>
      <c r="H363" s="39"/>
      <c r="I363" s="39"/>
      <c r="J363" s="39"/>
      <c r="K363" s="39"/>
      <c r="L363" s="96"/>
      <c r="M363" s="96"/>
      <c r="N363" s="96"/>
      <c r="O363" s="95"/>
      <c r="P363" s="96"/>
      <c r="Q363" s="96"/>
      <c r="R363" s="71"/>
      <c r="S363" s="71"/>
      <c r="T363" s="71"/>
      <c r="U363" s="39"/>
      <c r="V363" s="39"/>
      <c r="W363" s="39"/>
      <c r="X363" s="154"/>
      <c r="Y363" s="152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</row>
    <row r="364" spans="1:46" ht="18.75" x14ac:dyDescent="0.25">
      <c r="A364" s="39"/>
      <c r="B364" s="39"/>
      <c r="C364" s="93"/>
      <c r="D364" s="94"/>
      <c r="E364" s="94"/>
      <c r="F364" s="95"/>
      <c r="G364" s="39"/>
      <c r="H364" s="39"/>
      <c r="I364" s="39"/>
      <c r="J364" s="39"/>
      <c r="K364" s="39"/>
      <c r="L364" s="96"/>
      <c r="M364" s="96"/>
      <c r="N364" s="96"/>
      <c r="O364" s="95"/>
      <c r="P364" s="96"/>
      <c r="Q364" s="96"/>
      <c r="R364" s="71"/>
      <c r="S364" s="71"/>
      <c r="T364" s="71"/>
      <c r="U364" s="39"/>
      <c r="V364" s="39"/>
      <c r="W364" s="39"/>
      <c r="X364" s="154"/>
      <c r="Y364" s="152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</row>
    <row r="365" spans="1:46" ht="18.75" x14ac:dyDescent="0.25">
      <c r="A365" s="39"/>
      <c r="B365" s="39"/>
      <c r="C365" s="93"/>
      <c r="D365" s="94"/>
      <c r="E365" s="94"/>
      <c r="F365" s="95"/>
      <c r="G365" s="39"/>
      <c r="H365" s="39"/>
      <c r="I365" s="39"/>
      <c r="J365" s="39"/>
      <c r="K365" s="39"/>
      <c r="L365" s="96"/>
      <c r="M365" s="96"/>
      <c r="N365" s="96"/>
      <c r="O365" s="95"/>
      <c r="P365" s="96"/>
      <c r="Q365" s="96"/>
      <c r="R365" s="71"/>
      <c r="S365" s="71"/>
      <c r="T365" s="71"/>
      <c r="U365" s="39"/>
      <c r="V365" s="39"/>
      <c r="W365" s="39"/>
      <c r="X365" s="154"/>
      <c r="Y365" s="152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</row>
    <row r="366" spans="1:46" ht="18.75" x14ac:dyDescent="0.25">
      <c r="A366" s="39"/>
      <c r="B366" s="39"/>
      <c r="C366" s="93"/>
      <c r="D366" s="94"/>
      <c r="E366" s="94"/>
      <c r="F366" s="95"/>
      <c r="G366" s="39"/>
      <c r="H366" s="39"/>
      <c r="I366" s="39"/>
      <c r="J366" s="39"/>
      <c r="K366" s="39"/>
      <c r="L366" s="96"/>
      <c r="M366" s="96"/>
      <c r="N366" s="96"/>
      <c r="O366" s="95"/>
      <c r="P366" s="96"/>
      <c r="Q366" s="96"/>
      <c r="R366" s="71"/>
      <c r="S366" s="71"/>
      <c r="T366" s="71"/>
      <c r="U366" s="39"/>
      <c r="V366" s="39"/>
      <c r="W366" s="39"/>
      <c r="X366" s="154"/>
      <c r="Y366" s="152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</row>
    <row r="367" spans="1:46" ht="18.75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98"/>
      <c r="V367" s="99"/>
      <c r="W367" s="99"/>
      <c r="X367" s="154"/>
      <c r="Y367" s="152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</row>
    <row r="368" spans="1:46" ht="18.75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98"/>
      <c r="V368" s="99"/>
      <c r="W368" s="99"/>
      <c r="X368" s="154"/>
      <c r="Y368" s="152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</row>
    <row r="369" spans="1:46" ht="18.75" x14ac:dyDescent="0.25">
      <c r="A369" s="39"/>
      <c r="B369" s="39"/>
      <c r="C369" s="93"/>
      <c r="D369" s="94"/>
      <c r="E369" s="94"/>
      <c r="F369" s="95"/>
      <c r="G369" s="39"/>
      <c r="H369" s="39"/>
      <c r="I369" s="39"/>
      <c r="J369" s="39"/>
      <c r="K369" s="39"/>
      <c r="L369" s="96"/>
      <c r="M369" s="96"/>
      <c r="N369" s="96"/>
      <c r="O369" s="95"/>
      <c r="P369" s="96"/>
      <c r="Q369" s="96"/>
      <c r="R369" s="71"/>
      <c r="S369" s="71"/>
      <c r="T369" s="71"/>
      <c r="U369" s="98"/>
      <c r="V369" s="99"/>
      <c r="W369" s="99"/>
      <c r="X369" s="154"/>
      <c r="Y369" s="152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</row>
    <row r="370" spans="1:46" ht="18.75" x14ac:dyDescent="0.25">
      <c r="A370" s="39"/>
      <c r="B370" s="39"/>
      <c r="C370" s="93"/>
      <c r="D370" s="94"/>
      <c r="E370" s="94"/>
      <c r="F370" s="95"/>
      <c r="G370" s="39"/>
      <c r="H370" s="39"/>
      <c r="I370" s="39"/>
      <c r="J370" s="39"/>
      <c r="K370" s="39"/>
      <c r="L370" s="96"/>
      <c r="M370" s="96"/>
      <c r="N370" s="96"/>
      <c r="O370" s="95"/>
      <c r="P370" s="96"/>
      <c r="Q370" s="96"/>
      <c r="R370" s="71"/>
      <c r="S370" s="71"/>
      <c r="T370" s="71"/>
      <c r="U370" s="98"/>
      <c r="V370" s="99"/>
      <c r="W370" s="99"/>
      <c r="X370" s="154"/>
      <c r="Y370" s="152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</row>
    <row r="371" spans="1:46" ht="18.75" x14ac:dyDescent="0.25">
      <c r="A371" s="39"/>
      <c r="B371" s="39"/>
      <c r="C371" s="93"/>
      <c r="D371" s="94"/>
      <c r="E371" s="94"/>
      <c r="F371" s="95"/>
      <c r="G371" s="39"/>
      <c r="H371" s="39"/>
      <c r="I371" s="39"/>
      <c r="J371" s="39"/>
      <c r="K371" s="39"/>
      <c r="L371" s="96"/>
      <c r="M371" s="96"/>
      <c r="N371" s="96"/>
      <c r="O371" s="95"/>
      <c r="P371" s="96"/>
      <c r="Q371" s="96"/>
      <c r="R371" s="71"/>
      <c r="S371" s="71"/>
      <c r="T371" s="71"/>
      <c r="U371" s="98"/>
      <c r="V371" s="99"/>
      <c r="W371" s="99"/>
      <c r="X371" s="154"/>
      <c r="Y371" s="152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</row>
    <row r="372" spans="1:46" ht="18.75" x14ac:dyDescent="0.25">
      <c r="A372" s="39"/>
      <c r="B372" s="39"/>
      <c r="C372" s="93"/>
      <c r="D372" s="94"/>
      <c r="E372" s="94"/>
      <c r="F372" s="95"/>
      <c r="G372" s="39"/>
      <c r="H372" s="39"/>
      <c r="I372" s="39"/>
      <c r="J372" s="39"/>
      <c r="K372" s="39"/>
      <c r="L372" s="96"/>
      <c r="M372" s="96"/>
      <c r="N372" s="96"/>
      <c r="O372" s="95"/>
      <c r="P372" s="96"/>
      <c r="Q372" s="96"/>
      <c r="R372" s="71"/>
      <c r="S372" s="71"/>
      <c r="T372" s="71"/>
      <c r="U372" s="98"/>
      <c r="V372" s="99"/>
      <c r="W372" s="99"/>
      <c r="X372" s="154"/>
      <c r="Y372" s="152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</row>
    <row r="373" spans="1:46" ht="18.75" x14ac:dyDescent="0.25">
      <c r="A373" s="39"/>
      <c r="B373" s="39"/>
      <c r="C373" s="93"/>
      <c r="D373" s="94"/>
      <c r="E373" s="94"/>
      <c r="F373" s="95"/>
      <c r="G373" s="39"/>
      <c r="H373" s="39"/>
      <c r="I373" s="39"/>
      <c r="J373" s="39"/>
      <c r="K373" s="39"/>
      <c r="L373" s="96"/>
      <c r="M373" s="96"/>
      <c r="N373" s="96"/>
      <c r="O373" s="95"/>
      <c r="P373" s="96"/>
      <c r="Q373" s="96"/>
      <c r="R373" s="71"/>
      <c r="S373" s="71"/>
      <c r="T373" s="71"/>
      <c r="U373" s="98"/>
      <c r="V373" s="99"/>
      <c r="W373" s="99"/>
      <c r="X373" s="154"/>
      <c r="Y373" s="152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</row>
    <row r="374" spans="1:46" ht="18.75" x14ac:dyDescent="0.25">
      <c r="A374" s="39"/>
      <c r="B374" s="39"/>
      <c r="C374" s="93"/>
      <c r="D374" s="94"/>
      <c r="E374" s="94"/>
      <c r="F374" s="95"/>
      <c r="G374" s="39"/>
      <c r="H374" s="39"/>
      <c r="I374" s="39"/>
      <c r="J374" s="39"/>
      <c r="K374" s="39"/>
      <c r="L374" s="96"/>
      <c r="M374" s="96"/>
      <c r="N374" s="96"/>
      <c r="O374" s="95"/>
      <c r="P374" s="96"/>
      <c r="Q374" s="96"/>
      <c r="R374" s="71"/>
      <c r="S374" s="71"/>
      <c r="T374" s="71"/>
      <c r="U374" s="39"/>
      <c r="V374" s="39"/>
      <c r="W374" s="39"/>
      <c r="X374" s="154"/>
      <c r="Y374" s="152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</row>
    <row r="375" spans="1:46" ht="18.75" x14ac:dyDescent="0.25">
      <c r="A375" s="39"/>
      <c r="B375" s="39"/>
      <c r="C375" s="93"/>
      <c r="D375" s="94"/>
      <c r="E375" s="94"/>
      <c r="F375" s="95"/>
      <c r="G375" s="39"/>
      <c r="H375" s="39"/>
      <c r="I375" s="39"/>
      <c r="J375" s="39"/>
      <c r="K375" s="39"/>
      <c r="L375" s="96"/>
      <c r="M375" s="96"/>
      <c r="N375" s="96"/>
      <c r="O375" s="93"/>
      <c r="P375" s="96"/>
      <c r="Q375" s="96"/>
      <c r="R375" s="93"/>
      <c r="S375" s="71"/>
      <c r="T375" s="71"/>
      <c r="U375" s="39"/>
      <c r="V375" s="39"/>
      <c r="W375" s="39"/>
      <c r="X375" s="154"/>
      <c r="Y375" s="152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</row>
    <row r="376" spans="1:46" ht="18.75" x14ac:dyDescent="0.25">
      <c r="A376" s="39"/>
      <c r="B376" s="39"/>
      <c r="C376" s="93"/>
      <c r="D376" s="94"/>
      <c r="E376" s="94"/>
      <c r="F376" s="95"/>
      <c r="G376" s="39"/>
      <c r="H376" s="39"/>
      <c r="I376" s="39"/>
      <c r="J376" s="39"/>
      <c r="K376" s="39"/>
      <c r="L376" s="96"/>
      <c r="M376" s="96"/>
      <c r="N376" s="96"/>
      <c r="O376" s="93"/>
      <c r="P376" s="96"/>
      <c r="Q376" s="96"/>
      <c r="R376" s="93"/>
      <c r="S376" s="71"/>
      <c r="T376" s="71"/>
      <c r="U376" s="98"/>
      <c r="V376" s="99"/>
      <c r="W376" s="99"/>
      <c r="X376" s="154"/>
      <c r="Y376" s="152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</row>
    <row r="377" spans="1:46" ht="18.75" x14ac:dyDescent="0.25">
      <c r="A377" s="39"/>
      <c r="B377" s="39"/>
      <c r="C377" s="93"/>
      <c r="D377" s="94"/>
      <c r="E377" s="94"/>
      <c r="F377" s="95"/>
      <c r="G377" s="39"/>
      <c r="H377" s="39"/>
      <c r="I377" s="39"/>
      <c r="J377" s="39"/>
      <c r="K377" s="39"/>
      <c r="L377" s="96"/>
      <c r="M377" s="96"/>
      <c r="N377" s="96"/>
      <c r="O377" s="93"/>
      <c r="P377" s="96"/>
      <c r="Q377" s="96"/>
      <c r="R377" s="93"/>
      <c r="S377" s="71"/>
      <c r="T377" s="71"/>
      <c r="U377" s="98"/>
      <c r="V377" s="99"/>
      <c r="W377" s="99"/>
      <c r="X377" s="154"/>
      <c r="Y377" s="152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</row>
    <row r="378" spans="1:46" ht="18.75" x14ac:dyDescent="0.25">
      <c r="A378" s="39"/>
      <c r="B378" s="39"/>
      <c r="C378" s="93"/>
      <c r="D378" s="94"/>
      <c r="E378" s="94"/>
      <c r="F378" s="95"/>
      <c r="G378" s="39"/>
      <c r="H378" s="39"/>
      <c r="I378" s="39"/>
      <c r="J378" s="39"/>
      <c r="K378" s="39"/>
      <c r="L378" s="96"/>
      <c r="M378" s="96"/>
      <c r="N378" s="96"/>
      <c r="O378" s="93"/>
      <c r="P378" s="96"/>
      <c r="Q378" s="96"/>
      <c r="R378" s="93"/>
      <c r="S378" s="71"/>
      <c r="T378" s="71"/>
      <c r="U378" s="98"/>
      <c r="V378" s="99"/>
      <c r="W378" s="99"/>
      <c r="X378" s="154"/>
      <c r="Y378" s="152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</row>
    <row r="379" spans="1:46" ht="18.75" x14ac:dyDescent="0.25">
      <c r="A379" s="39"/>
      <c r="B379" s="39"/>
      <c r="C379" s="93"/>
      <c r="D379" s="94"/>
      <c r="E379" s="94"/>
      <c r="F379" s="95"/>
      <c r="G379" s="39"/>
      <c r="H379" s="39"/>
      <c r="I379" s="39"/>
      <c r="J379" s="39"/>
      <c r="K379" s="39"/>
      <c r="L379" s="96"/>
      <c r="M379" s="96"/>
      <c r="N379" s="96"/>
      <c r="O379" s="93"/>
      <c r="P379" s="96"/>
      <c r="Q379" s="96"/>
      <c r="R379" s="93"/>
      <c r="S379" s="71"/>
      <c r="T379" s="71"/>
      <c r="U379" s="98"/>
      <c r="V379" s="99"/>
      <c r="W379" s="99"/>
      <c r="X379" s="154"/>
      <c r="Y379" s="152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</row>
    <row r="380" spans="1:46" ht="18.75" x14ac:dyDescent="0.25">
      <c r="A380" s="39"/>
      <c r="B380" s="39"/>
      <c r="C380" s="93"/>
      <c r="D380" s="94"/>
      <c r="E380" s="94"/>
      <c r="F380" s="95"/>
      <c r="G380" s="39"/>
      <c r="H380" s="39"/>
      <c r="I380" s="39"/>
      <c r="J380" s="39"/>
      <c r="K380" s="39"/>
      <c r="L380" s="96"/>
      <c r="M380" s="96"/>
      <c r="N380" s="96"/>
      <c r="O380" s="93"/>
      <c r="P380" s="96"/>
      <c r="Q380" s="96"/>
      <c r="R380" s="93"/>
      <c r="S380" s="71"/>
      <c r="T380" s="71"/>
      <c r="U380" s="98"/>
      <c r="V380" s="99"/>
      <c r="W380" s="99"/>
      <c r="X380" s="154"/>
      <c r="Y380" s="152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</row>
    <row r="381" spans="1:46" ht="18.75" x14ac:dyDescent="0.25">
      <c r="A381" s="39"/>
      <c r="B381" s="39"/>
      <c r="C381" s="93"/>
      <c r="D381" s="94"/>
      <c r="E381" s="94"/>
      <c r="F381" s="95"/>
      <c r="G381" s="39"/>
      <c r="H381" s="39"/>
      <c r="I381" s="39"/>
      <c r="J381" s="39"/>
      <c r="K381" s="39"/>
      <c r="L381" s="96"/>
      <c r="M381" s="96"/>
      <c r="N381" s="96"/>
      <c r="O381" s="93"/>
      <c r="P381" s="96"/>
      <c r="Q381" s="96"/>
      <c r="R381" s="93"/>
      <c r="S381" s="71"/>
      <c r="T381" s="71"/>
      <c r="U381" s="98"/>
      <c r="V381" s="99"/>
      <c r="W381" s="99"/>
      <c r="X381" s="154"/>
      <c r="Y381" s="152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</row>
    <row r="382" spans="1:46" ht="18.75" x14ac:dyDescent="0.25">
      <c r="A382" s="39"/>
      <c r="B382" s="39"/>
      <c r="C382" s="93"/>
      <c r="D382" s="94"/>
      <c r="E382" s="94"/>
      <c r="F382" s="95"/>
      <c r="G382" s="39"/>
      <c r="H382" s="39"/>
      <c r="I382" s="39"/>
      <c r="J382" s="39"/>
      <c r="K382" s="39"/>
      <c r="L382" s="96"/>
      <c r="M382" s="96"/>
      <c r="N382" s="96"/>
      <c r="O382" s="93"/>
      <c r="P382" s="96"/>
      <c r="Q382" s="96"/>
      <c r="R382" s="93"/>
      <c r="S382" s="71"/>
      <c r="T382" s="71"/>
      <c r="U382" s="93"/>
      <c r="V382" s="93"/>
      <c r="W382" s="99"/>
      <c r="X382" s="154"/>
      <c r="Y382" s="152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</row>
    <row r="383" spans="1:46" ht="18.75" x14ac:dyDescent="0.25">
      <c r="A383" s="39"/>
      <c r="B383" s="39"/>
      <c r="C383" s="93"/>
      <c r="D383" s="94"/>
      <c r="E383" s="94"/>
      <c r="F383" s="95"/>
      <c r="G383" s="39"/>
      <c r="H383" s="39"/>
      <c r="I383" s="39"/>
      <c r="J383" s="39"/>
      <c r="K383" s="39"/>
      <c r="L383" s="96"/>
      <c r="M383" s="96"/>
      <c r="N383" s="96"/>
      <c r="O383" s="93"/>
      <c r="P383" s="96"/>
      <c r="Q383" s="96"/>
      <c r="R383" s="93"/>
      <c r="S383" s="71"/>
      <c r="T383" s="71"/>
      <c r="U383" s="93"/>
      <c r="V383" s="93"/>
      <c r="W383" s="99"/>
      <c r="X383" s="154"/>
      <c r="Y383" s="152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</row>
    <row r="384" spans="1:46" ht="18.75" x14ac:dyDescent="0.25">
      <c r="A384" s="39"/>
      <c r="B384" s="39"/>
      <c r="C384" s="93"/>
      <c r="D384" s="94"/>
      <c r="E384" s="94"/>
      <c r="F384" s="95"/>
      <c r="G384" s="39"/>
      <c r="H384" s="39"/>
      <c r="I384" s="39"/>
      <c r="J384" s="39"/>
      <c r="K384" s="39"/>
      <c r="L384" s="96"/>
      <c r="M384" s="96"/>
      <c r="N384" s="96"/>
      <c r="O384" s="93"/>
      <c r="P384" s="96"/>
      <c r="Q384" s="96"/>
      <c r="R384" s="93"/>
      <c r="S384" s="71"/>
      <c r="T384" s="71"/>
      <c r="U384" s="93"/>
      <c r="V384" s="93"/>
      <c r="W384" s="99"/>
      <c r="X384" s="154"/>
      <c r="Y384" s="152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</row>
    <row r="385" spans="1:46" ht="18.75" x14ac:dyDescent="0.25">
      <c r="A385" s="39"/>
      <c r="B385" s="39"/>
      <c r="C385" s="93"/>
      <c r="D385" s="94"/>
      <c r="E385" s="94"/>
      <c r="F385" s="95"/>
      <c r="G385" s="39"/>
      <c r="H385" s="39"/>
      <c r="I385" s="39"/>
      <c r="J385" s="39"/>
      <c r="K385" s="39"/>
      <c r="L385" s="96"/>
      <c r="M385" s="96"/>
      <c r="N385" s="96"/>
      <c r="O385" s="93"/>
      <c r="P385" s="96"/>
      <c r="Q385" s="96"/>
      <c r="R385" s="93"/>
      <c r="S385" s="71"/>
      <c r="T385" s="71"/>
      <c r="U385" s="93"/>
      <c r="V385" s="93"/>
      <c r="W385" s="99"/>
      <c r="X385" s="154"/>
      <c r="Y385" s="152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</row>
    <row r="386" spans="1:46" ht="18.75" x14ac:dyDescent="0.25">
      <c r="A386" s="39"/>
      <c r="B386" s="39"/>
      <c r="C386" s="93"/>
      <c r="D386" s="94"/>
      <c r="E386" s="94"/>
      <c r="F386" s="95"/>
      <c r="G386" s="39"/>
      <c r="H386" s="39"/>
      <c r="I386" s="39"/>
      <c r="J386" s="39"/>
      <c r="K386" s="39"/>
      <c r="L386" s="96"/>
      <c r="M386" s="96"/>
      <c r="N386" s="96"/>
      <c r="O386" s="93"/>
      <c r="P386" s="96"/>
      <c r="Q386" s="96"/>
      <c r="R386" s="93"/>
      <c r="S386" s="71"/>
      <c r="T386" s="71"/>
      <c r="U386" s="93"/>
      <c r="V386" s="93"/>
      <c r="W386" s="99"/>
      <c r="X386" s="154"/>
      <c r="Y386" s="152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</row>
    <row r="387" spans="1:46" ht="18.75" x14ac:dyDescent="0.25">
      <c r="A387" s="39"/>
      <c r="B387" s="39"/>
      <c r="C387" s="93"/>
      <c r="D387" s="94"/>
      <c r="E387" s="94"/>
      <c r="F387" s="95"/>
      <c r="G387" s="39"/>
      <c r="H387" s="39"/>
      <c r="I387" s="39"/>
      <c r="J387" s="39"/>
      <c r="K387" s="39"/>
      <c r="L387" s="96"/>
      <c r="M387" s="96"/>
      <c r="N387" s="96"/>
      <c r="O387" s="93"/>
      <c r="P387" s="96"/>
      <c r="Q387" s="96"/>
      <c r="R387" s="93"/>
      <c r="S387" s="71"/>
      <c r="T387" s="71"/>
      <c r="U387" s="93"/>
      <c r="V387" s="93"/>
      <c r="W387" s="99"/>
      <c r="X387" s="154"/>
      <c r="Y387" s="152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</row>
    <row r="388" spans="1:46" ht="18.75" x14ac:dyDescent="0.25">
      <c r="A388" s="39"/>
      <c r="B388" s="39"/>
      <c r="C388" s="93"/>
      <c r="D388" s="94"/>
      <c r="E388" s="94"/>
      <c r="F388" s="95"/>
      <c r="G388" s="39"/>
      <c r="H388" s="39"/>
      <c r="I388" s="39"/>
      <c r="J388" s="39"/>
      <c r="K388" s="39"/>
      <c r="L388" s="96"/>
      <c r="M388" s="96"/>
      <c r="N388" s="96"/>
      <c r="O388" s="93"/>
      <c r="P388" s="96"/>
      <c r="Q388" s="96"/>
      <c r="R388" s="93"/>
      <c r="S388" s="71"/>
      <c r="T388" s="71"/>
      <c r="U388" s="93"/>
      <c r="V388" s="93"/>
      <c r="W388" s="99"/>
      <c r="X388" s="154"/>
      <c r="Y388" s="152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</row>
    <row r="389" spans="1:46" ht="18.75" x14ac:dyDescent="0.25">
      <c r="A389" s="39"/>
      <c r="B389" s="39"/>
      <c r="C389" s="93"/>
      <c r="D389" s="94"/>
      <c r="E389" s="94"/>
      <c r="F389" s="95"/>
      <c r="G389" s="39"/>
      <c r="H389" s="39"/>
      <c r="I389" s="39"/>
      <c r="J389" s="39"/>
      <c r="K389" s="39"/>
      <c r="L389" s="96"/>
      <c r="M389" s="96"/>
      <c r="N389" s="96"/>
      <c r="O389" s="93"/>
      <c r="P389" s="96"/>
      <c r="Q389" s="96"/>
      <c r="R389" s="93"/>
      <c r="S389" s="71"/>
      <c r="T389" s="71"/>
      <c r="U389" s="93"/>
      <c r="V389" s="93"/>
      <c r="W389" s="99"/>
      <c r="X389" s="154"/>
      <c r="Y389" s="152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</row>
    <row r="390" spans="1:46" ht="18.75" x14ac:dyDescent="0.25">
      <c r="A390" s="39"/>
      <c r="B390" s="39"/>
      <c r="C390" s="93"/>
      <c r="D390" s="94"/>
      <c r="E390" s="94"/>
      <c r="F390" s="95"/>
      <c r="G390" s="39"/>
      <c r="H390" s="39"/>
      <c r="I390" s="39"/>
      <c r="J390" s="39"/>
      <c r="K390" s="39"/>
      <c r="L390" s="96"/>
      <c r="M390" s="96"/>
      <c r="N390" s="96"/>
      <c r="O390" s="93"/>
      <c r="P390" s="96"/>
      <c r="Q390" s="96"/>
      <c r="R390" s="93"/>
      <c r="S390" s="71"/>
      <c r="T390" s="71"/>
      <c r="U390" s="93"/>
      <c r="V390" s="93"/>
      <c r="W390" s="99"/>
      <c r="X390" s="154"/>
      <c r="Y390" s="152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</row>
    <row r="391" spans="1:46" ht="18.75" x14ac:dyDescent="0.25">
      <c r="A391" s="39"/>
      <c r="B391" s="39"/>
      <c r="C391" s="93"/>
      <c r="D391" s="94"/>
      <c r="E391" s="94"/>
      <c r="F391" s="95"/>
      <c r="G391" s="39"/>
      <c r="H391" s="39"/>
      <c r="I391" s="39"/>
      <c r="J391" s="39"/>
      <c r="K391" s="39"/>
      <c r="L391" s="96"/>
      <c r="M391" s="96"/>
      <c r="N391" s="96"/>
      <c r="O391" s="93"/>
      <c r="P391" s="96"/>
      <c r="Q391" s="96"/>
      <c r="R391" s="93"/>
      <c r="S391" s="71"/>
      <c r="T391" s="71"/>
      <c r="U391" s="93"/>
      <c r="V391" s="93"/>
      <c r="W391" s="99"/>
      <c r="X391" s="154"/>
      <c r="Y391" s="152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</row>
    <row r="392" spans="1:46" ht="18.75" x14ac:dyDescent="0.25">
      <c r="A392" s="39"/>
      <c r="B392" s="39"/>
      <c r="C392" s="93"/>
      <c r="D392" s="94"/>
      <c r="E392" s="94"/>
      <c r="F392" s="95"/>
      <c r="G392" s="39"/>
      <c r="H392" s="39"/>
      <c r="I392" s="39"/>
      <c r="J392" s="39"/>
      <c r="K392" s="39"/>
      <c r="L392" s="96"/>
      <c r="M392" s="96"/>
      <c r="N392" s="96"/>
      <c r="O392" s="93"/>
      <c r="P392" s="96"/>
      <c r="Q392" s="96"/>
      <c r="R392" s="93"/>
      <c r="S392" s="71"/>
      <c r="T392" s="71"/>
      <c r="U392" s="93"/>
      <c r="V392" s="93"/>
      <c r="W392" s="99"/>
      <c r="X392" s="154"/>
      <c r="Y392" s="152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</row>
    <row r="393" spans="1:46" ht="18.75" x14ac:dyDescent="0.25">
      <c r="A393" s="39"/>
      <c r="B393" s="39"/>
      <c r="C393" s="93"/>
      <c r="D393" s="94"/>
      <c r="E393" s="94"/>
      <c r="F393" s="95"/>
      <c r="G393" s="39"/>
      <c r="H393" s="39"/>
      <c r="I393" s="39"/>
      <c r="J393" s="39"/>
      <c r="K393" s="39"/>
      <c r="L393" s="96"/>
      <c r="M393" s="96"/>
      <c r="N393" s="96"/>
      <c r="O393" s="93"/>
      <c r="P393" s="96"/>
      <c r="Q393" s="96"/>
      <c r="R393" s="93"/>
      <c r="S393" s="71"/>
      <c r="T393" s="71"/>
      <c r="U393" s="93"/>
      <c r="V393" s="93"/>
      <c r="W393" s="99"/>
      <c r="X393" s="154"/>
      <c r="Y393" s="152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</row>
    <row r="394" spans="1:46" ht="18.75" x14ac:dyDescent="0.25">
      <c r="A394" s="39"/>
      <c r="B394" s="39"/>
      <c r="C394" s="93"/>
      <c r="D394" s="94"/>
      <c r="E394" s="94"/>
      <c r="F394" s="95"/>
      <c r="G394" s="39"/>
      <c r="H394" s="39"/>
      <c r="I394" s="39"/>
      <c r="J394" s="39"/>
      <c r="K394" s="39"/>
      <c r="L394" s="96"/>
      <c r="M394" s="96"/>
      <c r="N394" s="96"/>
      <c r="O394" s="93"/>
      <c r="P394" s="96"/>
      <c r="Q394" s="96"/>
      <c r="R394" s="93"/>
      <c r="S394" s="71"/>
      <c r="T394" s="71"/>
      <c r="U394" s="93"/>
      <c r="V394" s="93"/>
      <c r="W394" s="99"/>
      <c r="X394" s="154"/>
      <c r="Y394" s="152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</row>
    <row r="395" spans="1:46" ht="18.75" x14ac:dyDescent="0.25">
      <c r="A395" s="39"/>
      <c r="B395" s="39"/>
      <c r="C395" s="93"/>
      <c r="D395" s="94"/>
      <c r="E395" s="94"/>
      <c r="F395" s="95"/>
      <c r="G395" s="39"/>
      <c r="H395" s="39"/>
      <c r="I395" s="39"/>
      <c r="J395" s="39"/>
      <c r="K395" s="39"/>
      <c r="L395" s="96"/>
      <c r="M395" s="96"/>
      <c r="N395" s="96"/>
      <c r="O395" s="93"/>
      <c r="P395" s="96"/>
      <c r="Q395" s="96"/>
      <c r="R395" s="93"/>
      <c r="S395" s="71"/>
      <c r="T395" s="71"/>
      <c r="U395" s="93"/>
      <c r="V395" s="93"/>
      <c r="W395" s="99"/>
      <c r="X395" s="154"/>
      <c r="Y395" s="152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</row>
    <row r="396" spans="1:46" ht="18.75" x14ac:dyDescent="0.25">
      <c r="A396" s="39"/>
      <c r="B396" s="39"/>
      <c r="C396" s="93"/>
      <c r="D396" s="94"/>
      <c r="E396" s="94"/>
      <c r="F396" s="95"/>
      <c r="G396" s="39"/>
      <c r="H396" s="39"/>
      <c r="I396" s="39"/>
      <c r="J396" s="39"/>
      <c r="K396" s="39"/>
      <c r="L396" s="96"/>
      <c r="M396" s="96"/>
      <c r="N396" s="96"/>
      <c r="O396" s="93"/>
      <c r="P396" s="96"/>
      <c r="Q396" s="96"/>
      <c r="R396" s="93"/>
      <c r="S396" s="71"/>
      <c r="T396" s="71"/>
      <c r="U396" s="93"/>
      <c r="V396" s="93"/>
      <c r="W396" s="99"/>
      <c r="X396" s="154"/>
      <c r="Y396" s="152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</row>
    <row r="397" spans="1:46" ht="18.75" x14ac:dyDescent="0.25">
      <c r="A397" s="39"/>
      <c r="B397" s="39"/>
      <c r="C397" s="93"/>
      <c r="D397" s="94"/>
      <c r="E397" s="94"/>
      <c r="F397" s="95"/>
      <c r="G397" s="39"/>
      <c r="H397" s="39"/>
      <c r="I397" s="39"/>
      <c r="J397" s="39"/>
      <c r="K397" s="39"/>
      <c r="L397" s="96"/>
      <c r="M397" s="96"/>
      <c r="N397" s="96"/>
      <c r="O397" s="93"/>
      <c r="P397" s="96"/>
      <c r="Q397" s="96"/>
      <c r="R397" s="93"/>
      <c r="S397" s="71"/>
      <c r="T397" s="71"/>
      <c r="U397" s="93"/>
      <c r="V397" s="93"/>
      <c r="W397" s="99"/>
      <c r="X397" s="154"/>
      <c r="Y397" s="152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</row>
    <row r="398" spans="1:46" ht="18.75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93"/>
      <c r="V398" s="93"/>
      <c r="W398" s="99"/>
      <c r="X398" s="154"/>
      <c r="Y398" s="152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</row>
    <row r="399" spans="1:46" ht="18.75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93"/>
      <c r="V399" s="93"/>
      <c r="W399" s="99"/>
      <c r="X399" s="154"/>
      <c r="Y399" s="152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</row>
    <row r="400" spans="1:46" ht="18.75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93"/>
      <c r="V400" s="93"/>
      <c r="W400" s="99"/>
      <c r="X400" s="154"/>
      <c r="Y400" s="152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</row>
    <row r="401" spans="1:46" ht="18.75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93"/>
      <c r="V401" s="93"/>
      <c r="W401" s="99"/>
      <c r="X401" s="154"/>
      <c r="Y401" s="152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</row>
    <row r="402" spans="1:46" ht="18.75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93"/>
      <c r="V402" s="93"/>
      <c r="W402" s="99"/>
      <c r="X402" s="154"/>
      <c r="Y402" s="152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</row>
    <row r="403" spans="1:46" ht="18.75" x14ac:dyDescent="0.25">
      <c r="A403" s="39"/>
      <c r="B403" s="39"/>
      <c r="C403" s="93"/>
      <c r="D403" s="94"/>
      <c r="E403" s="94"/>
      <c r="F403" s="95"/>
      <c r="G403" s="39"/>
      <c r="H403" s="39"/>
      <c r="I403" s="39"/>
      <c r="J403" s="39"/>
      <c r="K403" s="39"/>
      <c r="L403" s="96"/>
      <c r="M403" s="96"/>
      <c r="N403" s="96"/>
      <c r="O403" s="93"/>
      <c r="P403" s="96"/>
      <c r="Q403" s="96"/>
      <c r="R403" s="93"/>
      <c r="S403" s="71"/>
      <c r="T403" s="71"/>
      <c r="U403" s="93"/>
      <c r="V403" s="93"/>
      <c r="W403" s="99"/>
      <c r="X403" s="154"/>
      <c r="Y403" s="152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</row>
    <row r="404" spans="1:46" ht="18.75" x14ac:dyDescent="0.25">
      <c r="C404" s="19"/>
      <c r="D404" s="20"/>
      <c r="E404" s="20"/>
      <c r="F404" s="21"/>
      <c r="L404" s="22"/>
      <c r="M404" s="22"/>
      <c r="N404" s="22"/>
      <c r="O404" s="19"/>
      <c r="P404" s="22"/>
      <c r="Q404" s="22"/>
      <c r="R404" s="19"/>
      <c r="S404" s="18"/>
      <c r="T404" s="18"/>
      <c r="U404" s="19"/>
      <c r="V404" s="19"/>
      <c r="W404" s="23"/>
      <c r="X404" s="24"/>
      <c r="Y404" s="7"/>
    </row>
    <row r="405" spans="1:46" ht="18.75" x14ac:dyDescent="0.25">
      <c r="C405" s="19"/>
      <c r="D405" s="20"/>
      <c r="E405" s="20"/>
      <c r="F405" s="21"/>
      <c r="L405" s="22"/>
      <c r="M405" s="22"/>
      <c r="N405" s="22"/>
      <c r="O405" s="19"/>
      <c r="P405" s="22"/>
      <c r="Q405" s="22"/>
      <c r="R405" s="19"/>
      <c r="S405" s="18"/>
      <c r="T405" s="18"/>
      <c r="U405" s="19"/>
      <c r="V405" s="19"/>
      <c r="W405" s="23"/>
      <c r="X405" s="24"/>
      <c r="Y405" s="7"/>
    </row>
    <row r="406" spans="1:46" ht="18.75" x14ac:dyDescent="0.25">
      <c r="C406" s="19"/>
      <c r="D406" s="20"/>
      <c r="E406" s="20"/>
      <c r="F406" s="21"/>
      <c r="L406" s="22"/>
      <c r="M406" s="22"/>
      <c r="N406" s="22"/>
      <c r="O406" s="19"/>
      <c r="P406" s="22"/>
      <c r="Q406" s="22"/>
      <c r="R406" s="19"/>
      <c r="S406" s="18"/>
      <c r="T406" s="18"/>
      <c r="U406" s="19"/>
      <c r="V406" s="19"/>
      <c r="W406" s="23"/>
      <c r="X406" s="24"/>
      <c r="Y406" s="7"/>
    </row>
    <row r="407" spans="1:46" ht="18.75" x14ac:dyDescent="0.25">
      <c r="C407" s="19"/>
      <c r="D407" s="20"/>
      <c r="E407" s="20"/>
      <c r="F407" s="21"/>
      <c r="L407" s="22"/>
      <c r="M407" s="22"/>
      <c r="N407" s="22"/>
      <c r="O407" s="19"/>
      <c r="P407" s="22"/>
      <c r="Q407" s="22"/>
      <c r="R407" s="19"/>
      <c r="S407" s="18"/>
      <c r="T407" s="18"/>
      <c r="U407" s="19"/>
      <c r="V407" s="19"/>
      <c r="W407" s="23"/>
      <c r="X407" s="24"/>
      <c r="Y407" s="7"/>
    </row>
    <row r="408" spans="1:46" ht="18.75" x14ac:dyDescent="0.25">
      <c r="C408" s="19"/>
      <c r="D408" s="20"/>
      <c r="E408" s="20"/>
      <c r="F408" s="21"/>
      <c r="L408" s="22"/>
      <c r="M408" s="22"/>
      <c r="N408" s="22"/>
      <c r="O408" s="19"/>
      <c r="P408" s="22"/>
      <c r="Q408" s="22"/>
      <c r="R408" s="19"/>
      <c r="S408" s="18"/>
      <c r="T408" s="18"/>
      <c r="U408" s="19"/>
      <c r="V408" s="19"/>
      <c r="W408" s="23"/>
      <c r="X408" s="24"/>
      <c r="Y408" s="7"/>
    </row>
    <row r="409" spans="1:46" ht="18.75" x14ac:dyDescent="0.25">
      <c r="C409" s="19"/>
      <c r="D409" s="20"/>
      <c r="E409" s="20"/>
      <c r="F409" s="21"/>
      <c r="L409" s="22"/>
      <c r="M409" s="22"/>
      <c r="N409" s="22"/>
      <c r="O409" s="19"/>
      <c r="P409" s="22"/>
      <c r="Q409" s="22"/>
      <c r="R409" s="19"/>
      <c r="S409" s="18"/>
      <c r="T409" s="18"/>
      <c r="U409" s="19"/>
      <c r="V409" s="19"/>
      <c r="W409" s="23"/>
      <c r="X409" s="24"/>
      <c r="Y409" s="7"/>
    </row>
    <row r="410" spans="1:46" ht="18.75" x14ac:dyDescent="0.25">
      <c r="C410" s="19"/>
      <c r="D410" s="20"/>
      <c r="E410" s="20"/>
      <c r="F410" s="21"/>
      <c r="L410" s="22"/>
      <c r="M410" s="22"/>
      <c r="N410" s="22"/>
      <c r="O410" s="19"/>
      <c r="P410" s="22"/>
      <c r="Q410" s="22"/>
      <c r="R410" s="19"/>
      <c r="S410" s="18"/>
      <c r="T410" s="18"/>
      <c r="U410" s="19"/>
      <c r="V410" s="19"/>
      <c r="W410" s="23"/>
      <c r="X410" s="24"/>
      <c r="Y410" s="7"/>
    </row>
    <row r="411" spans="1:46" ht="18.75" x14ac:dyDescent="0.25">
      <c r="U411" s="19"/>
      <c r="V411" s="19"/>
      <c r="W411" s="23"/>
      <c r="X411" s="24"/>
      <c r="Y411" s="7"/>
    </row>
    <row r="412" spans="1:46" ht="18.75" x14ac:dyDescent="0.25">
      <c r="U412" s="19"/>
      <c r="V412" s="19"/>
      <c r="W412" s="23"/>
      <c r="X412" s="24"/>
      <c r="Y412" s="7"/>
    </row>
    <row r="413" spans="1:46" ht="18.75" x14ac:dyDescent="0.25">
      <c r="X413" s="24"/>
      <c r="Y413" s="7"/>
    </row>
    <row r="414" spans="1:46" ht="18.75" x14ac:dyDescent="0.25">
      <c r="X414" s="24"/>
      <c r="Y414" s="7"/>
    </row>
    <row r="415" spans="1:46" ht="18.75" x14ac:dyDescent="0.25">
      <c r="X415" s="24"/>
      <c r="Y415" s="7"/>
    </row>
    <row r="416" spans="1:46" ht="18.75" x14ac:dyDescent="0.25">
      <c r="C416" s="19"/>
      <c r="D416" s="20"/>
      <c r="E416" s="20"/>
      <c r="F416" s="21"/>
      <c r="L416" s="22"/>
      <c r="M416" s="22"/>
      <c r="N416" s="22"/>
      <c r="O416" s="19"/>
      <c r="P416" s="22"/>
      <c r="Q416" s="22"/>
      <c r="R416" s="19"/>
      <c r="S416" s="18"/>
      <c r="T416" s="18"/>
      <c r="X416" s="24"/>
      <c r="Y416" s="7"/>
    </row>
    <row r="417" spans="3:25" ht="18.75" x14ac:dyDescent="0.25">
      <c r="C417" s="19"/>
      <c r="D417" s="20"/>
      <c r="E417" s="20"/>
      <c r="F417" s="21"/>
      <c r="L417" s="22"/>
      <c r="M417" s="22"/>
      <c r="N417" s="22"/>
      <c r="O417" s="19"/>
      <c r="P417" s="22"/>
      <c r="Q417" s="22"/>
      <c r="R417" s="19"/>
      <c r="S417" s="18"/>
      <c r="T417" s="18"/>
      <c r="X417" s="24"/>
      <c r="Y417" s="7"/>
    </row>
    <row r="418" spans="3:25" ht="18.75" x14ac:dyDescent="0.25">
      <c r="C418" s="19"/>
      <c r="D418" s="20"/>
      <c r="E418" s="20"/>
      <c r="F418" s="21"/>
      <c r="L418" s="22"/>
      <c r="M418" s="22"/>
      <c r="N418" s="22"/>
      <c r="O418" s="19"/>
      <c r="P418" s="22"/>
      <c r="Q418" s="22"/>
      <c r="R418" s="19"/>
      <c r="S418" s="18"/>
      <c r="T418" s="18"/>
      <c r="U418" s="19"/>
      <c r="V418" s="19"/>
      <c r="W418" s="23"/>
      <c r="X418" s="24"/>
      <c r="Y418" s="7"/>
    </row>
    <row r="419" spans="3:25" ht="18.75" x14ac:dyDescent="0.25">
      <c r="C419" s="19"/>
      <c r="D419" s="20"/>
      <c r="E419" s="20"/>
      <c r="F419" s="21"/>
      <c r="L419" s="22"/>
      <c r="M419" s="22"/>
      <c r="N419" s="22"/>
      <c r="O419" s="19"/>
      <c r="P419" s="22"/>
      <c r="Q419" s="22"/>
      <c r="R419" s="19"/>
      <c r="S419" s="18"/>
      <c r="T419" s="18"/>
      <c r="U419" s="19"/>
      <c r="V419" s="19"/>
      <c r="W419" s="23"/>
      <c r="X419" s="24"/>
      <c r="Y419" s="7"/>
    </row>
    <row r="420" spans="3:25" ht="18.75" x14ac:dyDescent="0.25">
      <c r="C420" s="19"/>
      <c r="D420" s="20"/>
      <c r="E420" s="20"/>
      <c r="F420" s="21"/>
      <c r="L420" s="22"/>
      <c r="M420" s="22"/>
      <c r="N420" s="22"/>
      <c r="O420" s="19"/>
      <c r="P420" s="22"/>
      <c r="Q420" s="22"/>
      <c r="R420" s="19"/>
      <c r="S420" s="18"/>
      <c r="T420" s="18"/>
      <c r="U420" s="19"/>
      <c r="V420" s="19"/>
      <c r="W420" s="23"/>
      <c r="X420" s="24"/>
      <c r="Y420" s="7"/>
    </row>
    <row r="421" spans="3:25" ht="18.75" x14ac:dyDescent="0.25">
      <c r="C421" s="19"/>
      <c r="D421" s="20"/>
      <c r="E421" s="20"/>
      <c r="F421" s="21"/>
      <c r="L421" s="22"/>
      <c r="M421" s="22"/>
      <c r="N421" s="22"/>
      <c r="O421" s="19"/>
      <c r="P421" s="22"/>
      <c r="Q421" s="22"/>
      <c r="R421" s="19"/>
      <c r="S421" s="18"/>
      <c r="T421" s="18"/>
      <c r="U421" s="19"/>
      <c r="V421" s="19"/>
      <c r="W421" s="23"/>
      <c r="X421" s="24"/>
      <c r="Y421" s="7"/>
    </row>
    <row r="422" spans="3:25" ht="18.75" x14ac:dyDescent="0.25">
      <c r="C422" s="19"/>
      <c r="D422" s="20"/>
      <c r="E422" s="20"/>
      <c r="F422" s="21"/>
      <c r="L422" s="22"/>
      <c r="M422" s="22"/>
      <c r="N422" s="22"/>
      <c r="O422" s="19"/>
      <c r="P422" s="22"/>
      <c r="Q422" s="22"/>
      <c r="R422" s="19"/>
      <c r="S422" s="18"/>
      <c r="T422" s="18"/>
      <c r="U422" s="19"/>
      <c r="V422" s="19"/>
      <c r="W422" s="23"/>
      <c r="X422" s="24"/>
      <c r="Y422" s="7"/>
    </row>
    <row r="423" spans="3:25" ht="18.75" x14ac:dyDescent="0.25">
      <c r="C423" s="19"/>
      <c r="D423" s="20"/>
      <c r="E423" s="20"/>
      <c r="F423" s="21"/>
      <c r="L423" s="22"/>
      <c r="M423" s="22"/>
      <c r="N423" s="22"/>
      <c r="O423" s="19"/>
      <c r="P423" s="22"/>
      <c r="Q423" s="22"/>
      <c r="R423" s="19"/>
      <c r="S423" s="18"/>
      <c r="T423" s="18"/>
      <c r="U423" s="19"/>
      <c r="V423" s="19"/>
      <c r="W423" s="23"/>
      <c r="X423" s="24"/>
      <c r="Y423" s="7"/>
    </row>
    <row r="424" spans="3:25" ht="18.75" x14ac:dyDescent="0.25">
      <c r="C424" s="19"/>
      <c r="D424" s="20"/>
      <c r="E424" s="20"/>
      <c r="F424" s="21"/>
      <c r="L424" s="22"/>
      <c r="M424" s="22"/>
      <c r="N424" s="22"/>
      <c r="O424" s="19"/>
      <c r="P424" s="22"/>
      <c r="Q424" s="22"/>
      <c r="R424" s="19"/>
      <c r="S424" s="18"/>
      <c r="T424" s="18"/>
      <c r="U424" s="19"/>
      <c r="V424" s="19"/>
      <c r="W424" s="23"/>
      <c r="X424" s="24"/>
      <c r="Y424" s="7"/>
    </row>
    <row r="425" spans="3:25" ht="18.75" x14ac:dyDescent="0.25">
      <c r="C425" s="19"/>
      <c r="D425" s="20"/>
      <c r="E425" s="20"/>
      <c r="F425" s="21"/>
      <c r="L425" s="22"/>
      <c r="M425" s="22"/>
      <c r="N425" s="22"/>
      <c r="O425" s="19"/>
      <c r="P425" s="22"/>
      <c r="Q425" s="22"/>
      <c r="R425" s="19"/>
      <c r="S425" s="18"/>
      <c r="T425" s="18"/>
      <c r="U425" s="19"/>
      <c r="V425" s="19"/>
      <c r="W425" s="23"/>
      <c r="X425" s="24"/>
      <c r="Y425" s="7"/>
    </row>
    <row r="426" spans="3:25" ht="18.75" x14ac:dyDescent="0.25">
      <c r="U426" s="19"/>
      <c r="V426" s="19"/>
      <c r="W426" s="23"/>
      <c r="X426" s="24"/>
      <c r="Y426" s="7"/>
    </row>
    <row r="427" spans="3:25" ht="18.75" x14ac:dyDescent="0.25">
      <c r="U427" s="19"/>
      <c r="V427" s="19"/>
      <c r="W427" s="23"/>
      <c r="X427" s="24"/>
      <c r="Y427" s="7"/>
    </row>
    <row r="428" spans="3:25" ht="18.75" x14ac:dyDescent="0.25">
      <c r="C428" s="19"/>
      <c r="D428" s="20"/>
      <c r="E428" s="20"/>
      <c r="F428" s="21"/>
      <c r="L428" s="22"/>
      <c r="M428" s="22"/>
      <c r="N428" s="22"/>
      <c r="O428" s="19"/>
      <c r="P428" s="22"/>
      <c r="Q428" s="22"/>
      <c r="R428" s="19"/>
      <c r="S428" s="18"/>
      <c r="T428" s="18"/>
      <c r="U428" s="19"/>
      <c r="V428" s="19"/>
      <c r="W428" s="23"/>
      <c r="X428" s="24"/>
      <c r="Y428" s="7"/>
    </row>
    <row r="429" spans="3:25" ht="18.75" x14ac:dyDescent="0.25">
      <c r="C429" s="19"/>
      <c r="D429" s="20"/>
      <c r="E429" s="20"/>
      <c r="F429" s="21"/>
      <c r="L429" s="22"/>
      <c r="M429" s="22"/>
      <c r="N429" s="22"/>
      <c r="O429" s="19"/>
      <c r="P429" s="22"/>
      <c r="Q429" s="22"/>
      <c r="R429" s="19"/>
      <c r="S429" s="18"/>
      <c r="T429" s="18"/>
      <c r="U429" s="19"/>
      <c r="V429" s="19"/>
      <c r="W429" s="23"/>
      <c r="X429" s="24"/>
      <c r="Y429" s="7"/>
    </row>
    <row r="430" spans="3:25" ht="18.75" x14ac:dyDescent="0.25">
      <c r="C430" s="19"/>
      <c r="D430" s="20"/>
      <c r="E430" s="20"/>
      <c r="F430" s="21"/>
      <c r="L430" s="22"/>
      <c r="M430" s="22"/>
      <c r="N430" s="22"/>
      <c r="O430" s="19"/>
      <c r="P430" s="22"/>
      <c r="Q430" s="22"/>
      <c r="R430" s="19"/>
      <c r="S430" s="18"/>
      <c r="T430" s="18"/>
      <c r="U430" s="19"/>
      <c r="V430" s="19"/>
      <c r="W430" s="23"/>
      <c r="X430" s="8"/>
      <c r="Y430" s="7"/>
    </row>
    <row r="431" spans="3:25" ht="23.25" x14ac:dyDescent="0.25">
      <c r="D431" s="19"/>
      <c r="E431" s="20"/>
      <c r="F431" s="21"/>
      <c r="H431" s="19"/>
      <c r="I431" s="19"/>
      <c r="J431" s="19"/>
      <c r="L431" s="21"/>
      <c r="M431" s="21"/>
      <c r="N431" s="21"/>
      <c r="O431" s="19"/>
      <c r="P431" s="21"/>
      <c r="Q431" s="21"/>
      <c r="R431" s="19"/>
      <c r="S431" s="18"/>
      <c r="T431" s="18"/>
      <c r="U431" s="25"/>
      <c r="V431" s="25"/>
      <c r="W431" s="8"/>
      <c r="Y431" s="7"/>
    </row>
    <row r="432" spans="3:25" ht="23.25" x14ac:dyDescent="0.25">
      <c r="D432" s="3"/>
      <c r="E432" s="26"/>
      <c r="F432" s="6"/>
      <c r="Q432" s="7"/>
      <c r="R432" s="7"/>
      <c r="S432" s="7"/>
      <c r="T432" s="27"/>
      <c r="U432" s="27"/>
      <c r="V432" s="28"/>
      <c r="W432" s="28"/>
      <c r="Y432" s="7"/>
    </row>
    <row r="433" spans="4:25" x14ac:dyDescent="0.25">
      <c r="X433" s="7"/>
      <c r="Y433" s="7"/>
    </row>
    <row r="436" spans="4:25" x14ac:dyDescent="0.25">
      <c r="W436" s="29"/>
    </row>
    <row r="437" spans="4:25" x14ac:dyDescent="0.25">
      <c r="W437" s="29"/>
    </row>
    <row r="438" spans="4:25" x14ac:dyDescent="0.25">
      <c r="D438" s="26"/>
      <c r="E438" s="30"/>
      <c r="W438" s="29"/>
    </row>
    <row r="439" spans="4:25" x14ac:dyDescent="0.25">
      <c r="D439" s="26"/>
      <c r="E439" s="30"/>
      <c r="W439" s="29"/>
    </row>
    <row r="440" spans="4:25" x14ac:dyDescent="0.25">
      <c r="E440" s="30"/>
      <c r="W440" s="29"/>
    </row>
    <row r="441" spans="4:25" x14ac:dyDescent="0.25">
      <c r="E441" s="30"/>
    </row>
    <row r="442" spans="4:25" x14ac:dyDescent="0.25">
      <c r="V442" s="31"/>
    </row>
    <row r="443" spans="4:25" x14ac:dyDescent="0.25">
      <c r="V443" s="31"/>
    </row>
    <row r="444" spans="4:25" x14ac:dyDescent="0.25">
      <c r="V444" s="31"/>
    </row>
    <row r="445" spans="4:25" x14ac:dyDescent="0.25">
      <c r="V445" s="31"/>
    </row>
    <row r="446" spans="4:25" x14ac:dyDescent="0.25">
      <c r="V446" s="31"/>
    </row>
    <row r="447" spans="4:25" x14ac:dyDescent="0.25">
      <c r="V447" s="31"/>
    </row>
  </sheetData>
  <sheetProtection password="ABEF" sheet="1" objects="1" scenarios="1" selectLockedCells="1" selectUnlockedCells="1"/>
  <mergeCells count="11">
    <mergeCell ref="B18:G18"/>
    <mergeCell ref="L18:O18"/>
    <mergeCell ref="P18:S18"/>
    <mergeCell ref="B19:C19"/>
    <mergeCell ref="B1:S1"/>
    <mergeCell ref="B2:S2"/>
    <mergeCell ref="B3:C3"/>
    <mergeCell ref="B4:G4"/>
    <mergeCell ref="H4:K4"/>
    <mergeCell ref="L4:O4"/>
    <mergeCell ref="P4:S4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1"/>
  <dimension ref="A1:AD447"/>
  <sheetViews>
    <sheetView showGridLines="0" showRowColHeaders="0" zoomScale="55" zoomScaleNormal="55" workbookViewId="0">
      <selection activeCell="M9" sqref="M9"/>
    </sheetView>
  </sheetViews>
  <sheetFormatPr defaultRowHeight="15" x14ac:dyDescent="0.25"/>
  <cols>
    <col min="2" max="2" width="23.5703125" customWidth="1"/>
    <col min="3" max="3" width="15.7109375" customWidth="1"/>
    <col min="4" max="4" width="15.85546875" customWidth="1"/>
    <col min="5" max="5" width="16.28515625" customWidth="1"/>
    <col min="6" max="6" width="20.140625" customWidth="1"/>
    <col min="7" max="7" width="17.42578125" customWidth="1"/>
    <col min="8" max="8" width="16.5703125" customWidth="1"/>
    <col min="9" max="9" width="15.5703125" customWidth="1"/>
    <col min="10" max="10" width="10.42578125" customWidth="1"/>
    <col min="11" max="11" width="20.5703125" customWidth="1"/>
    <col min="12" max="12" width="20.7109375" customWidth="1"/>
    <col min="13" max="13" width="20.5703125" customWidth="1"/>
    <col min="14" max="14" width="18.85546875" customWidth="1"/>
    <col min="15" max="15" width="20.5703125" customWidth="1"/>
    <col min="16" max="16" width="27.42578125" customWidth="1"/>
    <col min="17" max="19" width="15.7109375" customWidth="1"/>
    <col min="20" max="20" width="13.5703125" customWidth="1"/>
    <col min="21" max="21" width="13.85546875" customWidth="1"/>
    <col min="22" max="22" width="17.7109375" customWidth="1"/>
    <col min="23" max="23" width="15.85546875" customWidth="1"/>
    <col min="24" max="24" width="18.140625" customWidth="1"/>
    <col min="25" max="25" width="22.140625" customWidth="1"/>
    <col min="26" max="26" width="16.42578125" customWidth="1"/>
    <col min="27" max="27" width="32.42578125" customWidth="1"/>
    <col min="28" max="28" width="16.42578125" customWidth="1"/>
    <col min="29" max="29" width="15" customWidth="1"/>
  </cols>
  <sheetData>
    <row r="1" spans="1:30" ht="68.25" x14ac:dyDescent="0.25">
      <c r="A1" s="39"/>
      <c r="B1" s="418" t="s">
        <v>44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8.5" x14ac:dyDescent="0.25">
      <c r="A2" s="39"/>
      <c r="B2" s="420" t="s">
        <v>45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36" x14ac:dyDescent="0.25">
      <c r="A3" s="39"/>
      <c r="B3" s="417" t="s">
        <v>46</v>
      </c>
      <c r="C3" s="37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41"/>
      <c r="V3" s="41"/>
      <c r="W3" s="41"/>
      <c r="X3" s="41"/>
      <c r="Y3" s="41"/>
      <c r="Z3" s="41"/>
      <c r="AA3" s="39"/>
      <c r="AB3" s="39"/>
      <c r="AC3" s="39"/>
      <c r="AD3" s="39"/>
    </row>
    <row r="4" spans="1:30" ht="26.25" x14ac:dyDescent="0.25">
      <c r="A4" s="39"/>
      <c r="B4" s="421" t="s">
        <v>47</v>
      </c>
      <c r="C4" s="422"/>
      <c r="D4" s="422"/>
      <c r="E4" s="422"/>
      <c r="F4" s="422"/>
      <c r="G4" s="423"/>
      <c r="H4" s="421" t="s">
        <v>48</v>
      </c>
      <c r="I4" s="424"/>
      <c r="J4" s="424"/>
      <c r="K4" s="423"/>
      <c r="L4" s="421" t="s">
        <v>49</v>
      </c>
      <c r="M4" s="425"/>
      <c r="N4" s="425"/>
      <c r="O4" s="426"/>
      <c r="P4" s="421" t="s">
        <v>50</v>
      </c>
      <c r="Q4" s="422"/>
      <c r="R4" s="422"/>
      <c r="S4" s="423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21" x14ac:dyDescent="0.35">
      <c r="A5" s="39"/>
      <c r="B5" s="42"/>
      <c r="C5" s="43"/>
      <c r="D5" s="43"/>
      <c r="E5" s="43"/>
      <c r="F5" s="41"/>
      <c r="G5" s="44"/>
      <c r="H5" s="45"/>
      <c r="I5" s="41"/>
      <c r="J5" s="41"/>
      <c r="K5" s="44"/>
      <c r="L5" s="39"/>
      <c r="M5" s="39"/>
      <c r="N5" s="39"/>
      <c r="O5" s="39"/>
      <c r="P5" s="46"/>
      <c r="Q5" s="41"/>
      <c r="R5" s="41"/>
      <c r="S5" s="44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21" x14ac:dyDescent="0.35">
      <c r="A6" s="39"/>
      <c r="B6" s="47" t="s">
        <v>51</v>
      </c>
      <c r="C6" s="54">
        <f>'foglio deposito'!D22</f>
        <v>700</v>
      </c>
      <c r="D6" s="48" t="s">
        <v>52</v>
      </c>
      <c r="E6" s="43" t="s">
        <v>53</v>
      </c>
      <c r="F6" s="41"/>
      <c r="G6" s="44"/>
      <c r="H6" s="49" t="s">
        <v>54</v>
      </c>
      <c r="I6" s="188">
        <f>'foglio deposito'!C32</f>
        <v>30</v>
      </c>
      <c r="J6" s="48" t="s">
        <v>55</v>
      </c>
      <c r="K6" s="44"/>
      <c r="L6" s="50" t="s">
        <v>56</v>
      </c>
      <c r="M6" s="66">
        <f>'foglio deposito'!C27</f>
        <v>450</v>
      </c>
      <c r="N6" s="48" t="s">
        <v>55</v>
      </c>
      <c r="O6" s="51"/>
      <c r="P6" s="46"/>
      <c r="Q6" s="48"/>
      <c r="R6" s="52"/>
      <c r="S6" s="44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21" x14ac:dyDescent="0.35">
      <c r="A7" s="39"/>
      <c r="B7" s="53"/>
      <c r="C7" s="54"/>
      <c r="D7" s="55"/>
      <c r="E7" s="43"/>
      <c r="F7" s="41"/>
      <c r="G7" s="44"/>
      <c r="H7" s="56"/>
      <c r="I7" s="57" t="str">
        <f>IF(I6&gt;50,"CONCRETE ERROR",IF(I6&lt;5,"CONCRETE ERROR",""))</f>
        <v/>
      </c>
      <c r="J7" s="56"/>
      <c r="K7" s="44"/>
      <c r="L7" s="50"/>
      <c r="M7" s="60"/>
      <c r="N7" s="50"/>
      <c r="O7" s="50"/>
      <c r="P7" s="59"/>
      <c r="Q7" s="60"/>
      <c r="R7" s="60"/>
      <c r="S7" s="44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21" x14ac:dyDescent="0.35">
      <c r="A8" s="39"/>
      <c r="B8" s="47" t="s">
        <v>57</v>
      </c>
      <c r="C8" s="54">
        <f>'foglio deposito'!C22</f>
        <v>400</v>
      </c>
      <c r="D8" s="48" t="s">
        <v>52</v>
      </c>
      <c r="E8" s="43" t="s">
        <v>58</v>
      </c>
      <c r="F8" s="41"/>
      <c r="G8" s="44"/>
      <c r="H8" s="50" t="s">
        <v>59</v>
      </c>
      <c r="I8" s="66">
        <f>'foglio deposito'!D32</f>
        <v>1.5</v>
      </c>
      <c r="J8" s="48" t="s">
        <v>60</v>
      </c>
      <c r="K8" s="44"/>
      <c r="L8" s="61" t="s">
        <v>61</v>
      </c>
      <c r="M8" s="72">
        <v>67.5</v>
      </c>
      <c r="N8" s="48" t="s">
        <v>62</v>
      </c>
      <c r="O8" s="50"/>
      <c r="P8" s="59"/>
      <c r="Q8" s="60"/>
      <c r="R8" s="60"/>
      <c r="S8" s="62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21" x14ac:dyDescent="0.35">
      <c r="A9" s="39"/>
      <c r="B9" s="53"/>
      <c r="C9" s="54"/>
      <c r="D9" s="55"/>
      <c r="E9" s="43"/>
      <c r="F9" s="41"/>
      <c r="G9" s="44"/>
      <c r="H9" s="63"/>
      <c r="I9" s="39"/>
      <c r="J9" s="64"/>
      <c r="K9" s="44"/>
      <c r="L9" s="64"/>
      <c r="M9" s="57" t="str">
        <f>IF(M8&lt;-I12, "steel ERROR","")</f>
        <v/>
      </c>
      <c r="N9" s="64"/>
      <c r="O9" s="50"/>
      <c r="P9" s="46"/>
      <c r="Q9" s="65"/>
      <c r="R9" s="65"/>
      <c r="S9" s="44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21" x14ac:dyDescent="0.35">
      <c r="A10" s="39"/>
      <c r="B10" s="47" t="s">
        <v>63</v>
      </c>
      <c r="C10" s="81">
        <f>'foglio deposito'!E22</f>
        <v>44</v>
      </c>
      <c r="D10" s="48" t="s">
        <v>52</v>
      </c>
      <c r="E10" s="43" t="s">
        <v>64</v>
      </c>
      <c r="F10" s="41"/>
      <c r="G10" s="44"/>
      <c r="H10" s="49" t="s">
        <v>65</v>
      </c>
      <c r="I10" s="66">
        <f>I6*0.83/I8</f>
        <v>16.599999999999998</v>
      </c>
      <c r="J10" s="48" t="s">
        <v>55</v>
      </c>
      <c r="K10" s="44"/>
      <c r="L10" s="61" t="s">
        <v>66</v>
      </c>
      <c r="M10" s="58">
        <v>1.87</v>
      </c>
      <c r="N10" s="48" t="s">
        <v>62</v>
      </c>
      <c r="O10" s="50"/>
      <c r="P10" s="46"/>
      <c r="Q10" s="41"/>
      <c r="R10" s="41"/>
      <c r="S10" s="62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21" x14ac:dyDescent="0.35">
      <c r="A11" s="39"/>
      <c r="B11" s="46"/>
      <c r="C11" s="57" t="str">
        <f>IF(C10&lt;10,"h' ERROR","")</f>
        <v/>
      </c>
      <c r="D11" s="63"/>
      <c r="E11" s="43" t="s">
        <v>67</v>
      </c>
      <c r="F11" s="41"/>
      <c r="G11" s="44"/>
      <c r="H11" s="56"/>
      <c r="I11" s="65"/>
      <c r="J11" s="56"/>
      <c r="K11" s="44"/>
      <c r="L11" s="39"/>
      <c r="M11" s="39"/>
      <c r="N11" s="39"/>
      <c r="O11" s="67"/>
      <c r="P11" s="59" t="s">
        <v>68</v>
      </c>
      <c r="Q11" s="66">
        <f>'Verifica a Pressoflessione'!F9</f>
        <v>1256.6370614359173</v>
      </c>
      <c r="R11" s="48" t="s">
        <v>69</v>
      </c>
      <c r="S11" s="44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21" x14ac:dyDescent="0.25">
      <c r="A12" s="39"/>
      <c r="B12" s="46"/>
      <c r="C12" s="39"/>
      <c r="D12" s="39"/>
      <c r="E12" s="39"/>
      <c r="F12" s="41"/>
      <c r="G12" s="44"/>
      <c r="H12" s="61" t="s">
        <v>70</v>
      </c>
      <c r="I12" s="60">
        <v>-3.5</v>
      </c>
      <c r="J12" s="48" t="s">
        <v>62</v>
      </c>
      <c r="K12" s="44"/>
      <c r="L12" s="50" t="s">
        <v>71</v>
      </c>
      <c r="M12" s="60">
        <v>1.1499999999999999</v>
      </c>
      <c r="N12" s="50" t="s">
        <v>60</v>
      </c>
      <c r="O12" s="67"/>
      <c r="P12" s="59" t="s">
        <v>72</v>
      </c>
      <c r="Q12" s="66">
        <f>Q11</f>
        <v>1256.6370614359173</v>
      </c>
      <c r="R12" s="48" t="s">
        <v>69</v>
      </c>
      <c r="S12" s="44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21" x14ac:dyDescent="0.35">
      <c r="A13" s="39"/>
      <c r="B13" s="47" t="s">
        <v>73</v>
      </c>
      <c r="C13" s="54">
        <f>IF((C10*2+(R7/2+R8/2))&gt;C8, "h' ERROR", C8-C10 )</f>
        <v>356</v>
      </c>
      <c r="D13" s="48" t="s">
        <v>52</v>
      </c>
      <c r="E13" s="43" t="s">
        <v>74</v>
      </c>
      <c r="F13" s="41"/>
      <c r="G13" s="44"/>
      <c r="H13" s="68"/>
      <c r="I13" s="69"/>
      <c r="J13" s="68"/>
      <c r="K13" s="44"/>
      <c r="L13" s="50"/>
      <c r="M13" s="51"/>
      <c r="N13" s="67"/>
      <c r="O13" s="70"/>
      <c r="P13" s="61" t="s">
        <v>75</v>
      </c>
      <c r="Q13" s="71">
        <f>Q11*$M$14/($C$6*$C$8*$I$10)</f>
        <v>0.10579336182858695</v>
      </c>
      <c r="R13" s="50" t="s">
        <v>60</v>
      </c>
      <c r="S13" s="44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21" x14ac:dyDescent="0.35">
      <c r="A14" s="39"/>
      <c r="B14" s="42"/>
      <c r="C14" s="43"/>
      <c r="D14" s="55"/>
      <c r="E14" s="43"/>
      <c r="F14" s="41"/>
      <c r="G14" s="44"/>
      <c r="H14" s="61" t="s">
        <v>76</v>
      </c>
      <c r="I14" s="72">
        <v>-2</v>
      </c>
      <c r="J14" s="48" t="s">
        <v>62</v>
      </c>
      <c r="K14" s="44"/>
      <c r="L14" s="50" t="s">
        <v>77</v>
      </c>
      <c r="M14" s="73">
        <f>M6/M12</f>
        <v>391.304347826087</v>
      </c>
      <c r="N14" s="48" t="s">
        <v>55</v>
      </c>
      <c r="O14" s="74"/>
      <c r="P14" s="61" t="s">
        <v>78</v>
      </c>
      <c r="Q14" s="71">
        <f>Q12*$M$14/($C$6*$C$8*$I$10)</f>
        <v>0.10579336182858695</v>
      </c>
      <c r="R14" s="50" t="s">
        <v>60</v>
      </c>
      <c r="S14" s="4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21" x14ac:dyDescent="0.35">
      <c r="A15" s="39"/>
      <c r="B15" s="46"/>
      <c r="C15" s="41"/>
      <c r="D15" s="41"/>
      <c r="E15" s="41"/>
      <c r="F15" s="41"/>
      <c r="G15" s="44"/>
      <c r="H15" s="75"/>
      <c r="I15" s="76"/>
      <c r="J15" s="77"/>
      <c r="K15" s="44"/>
      <c r="L15" s="64"/>
      <c r="M15" s="78"/>
      <c r="N15" s="64"/>
      <c r="O15" s="79"/>
      <c r="P15" s="39"/>
      <c r="Q15" s="39"/>
      <c r="R15" s="39"/>
      <c r="S15" s="44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21" x14ac:dyDescent="0.35">
      <c r="A16" s="39"/>
      <c r="B16" s="46"/>
      <c r="C16" s="41"/>
      <c r="D16" s="41"/>
      <c r="E16" s="41"/>
      <c r="F16" s="41"/>
      <c r="G16" s="44"/>
      <c r="H16" s="80" t="s">
        <v>79</v>
      </c>
      <c r="I16" s="66">
        <v>0.85</v>
      </c>
      <c r="J16" s="48" t="s">
        <v>60</v>
      </c>
      <c r="K16" s="44"/>
      <c r="L16" s="50" t="s">
        <v>80</v>
      </c>
      <c r="M16" s="81">
        <f>M14/(M10*10^-3)</f>
        <v>209253.66193908395</v>
      </c>
      <c r="N16" s="48" t="s">
        <v>55</v>
      </c>
      <c r="O16" s="79"/>
      <c r="P16" s="39"/>
      <c r="Q16" s="39"/>
      <c r="R16" s="39"/>
      <c r="S16" s="44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x14ac:dyDescent="0.25">
      <c r="A17" s="39"/>
      <c r="B17" s="82"/>
      <c r="C17" s="39"/>
      <c r="D17" s="39"/>
      <c r="E17" s="39"/>
      <c r="F17" s="39"/>
      <c r="G17" s="83"/>
      <c r="H17" s="39"/>
      <c r="I17" s="39"/>
      <c r="J17" s="39"/>
      <c r="K17" s="44"/>
      <c r="L17" s="39"/>
      <c r="M17" s="39"/>
      <c r="N17" s="39"/>
      <c r="O17" s="84"/>
      <c r="P17" s="39"/>
      <c r="Q17" s="39"/>
      <c r="R17" s="39"/>
      <c r="S17" s="85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21" x14ac:dyDescent="0.25">
      <c r="A18" s="39"/>
      <c r="B18" s="411" t="str">
        <f>IF(C6=C8,"SEZIONE QUADRATA","SEZIONE RETTANGOLARE")</f>
        <v>SEZIONE RETTANGOLARE</v>
      </c>
      <c r="C18" s="412"/>
      <c r="D18" s="412"/>
      <c r="E18" s="412"/>
      <c r="F18" s="412"/>
      <c r="G18" s="413"/>
      <c r="H18" s="86"/>
      <c r="I18" s="87"/>
      <c r="J18" s="87"/>
      <c r="K18" s="88"/>
      <c r="L18" s="411" t="s">
        <v>81</v>
      </c>
      <c r="M18" s="412"/>
      <c r="N18" s="412"/>
      <c r="O18" s="413"/>
      <c r="P18" s="414" t="str">
        <f>IF(Q11=Q12, "ARMATURA SIMMETRICA", "-")</f>
        <v>ARMATURA SIMMETRICA</v>
      </c>
      <c r="Q18" s="415"/>
      <c r="R18" s="415"/>
      <c r="S18" s="41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ht="36" x14ac:dyDescent="0.25">
      <c r="A19" s="39"/>
      <c r="B19" s="417" t="s">
        <v>82</v>
      </c>
      <c r="C19" s="37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8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39"/>
      <c r="AB19" s="39"/>
      <c r="AC19" s="39"/>
      <c r="AD19" s="39"/>
    </row>
    <row r="20" spans="1:30" ht="21" x14ac:dyDescent="0.25">
      <c r="A20" s="39"/>
      <c r="B20" s="39"/>
      <c r="C20" s="50" t="s">
        <v>83</v>
      </c>
      <c r="D20" s="50" t="s">
        <v>84</v>
      </c>
      <c r="E20" s="50" t="s">
        <v>85</v>
      </c>
      <c r="F20" s="90" t="s">
        <v>86</v>
      </c>
      <c r="G20" s="50" t="s">
        <v>87</v>
      </c>
      <c r="H20" s="50" t="s">
        <v>88</v>
      </c>
      <c r="I20" s="50" t="s">
        <v>89</v>
      </c>
      <c r="J20" s="48" t="s">
        <v>90</v>
      </c>
      <c r="K20" s="48" t="s">
        <v>24</v>
      </c>
      <c r="L20" s="50" t="s">
        <v>91</v>
      </c>
      <c r="M20" s="50" t="s">
        <v>92</v>
      </c>
      <c r="N20" s="50" t="s">
        <v>93</v>
      </c>
      <c r="O20" s="50" t="s">
        <v>94</v>
      </c>
      <c r="P20" s="50" t="s">
        <v>95</v>
      </c>
      <c r="Q20" s="91" t="s">
        <v>96</v>
      </c>
      <c r="R20" s="91" t="s">
        <v>97</v>
      </c>
      <c r="S20" s="50" t="s">
        <v>98</v>
      </c>
      <c r="T20" s="50" t="s">
        <v>99</v>
      </c>
      <c r="U20" s="50" t="s">
        <v>100</v>
      </c>
      <c r="V20" s="50" t="s">
        <v>101</v>
      </c>
      <c r="W20" s="50" t="s">
        <v>102</v>
      </c>
      <c r="X20" s="50" t="s">
        <v>103</v>
      </c>
      <c r="Y20" s="50" t="s">
        <v>103</v>
      </c>
      <c r="Z20" s="50" t="s">
        <v>104</v>
      </c>
      <c r="AA20" s="50" t="s">
        <v>105</v>
      </c>
      <c r="AB20" s="50"/>
      <c r="AC20" s="39"/>
      <c r="AD20" s="39"/>
    </row>
    <row r="21" spans="1:30" ht="26.25" x14ac:dyDescent="0.25">
      <c r="A21" s="39"/>
      <c r="B21" s="92" t="s">
        <v>106</v>
      </c>
      <c r="C21" s="93" t="s">
        <v>107</v>
      </c>
      <c r="D21" s="94">
        <f>$M$8*10^-3</f>
        <v>6.7500000000000004E-2</v>
      </c>
      <c r="E21" s="94">
        <f>$M$8*10^-3</f>
        <v>6.7500000000000004E-2</v>
      </c>
      <c r="F21" s="93" t="s">
        <v>107</v>
      </c>
      <c r="G21" s="95" t="e">
        <f t="shared" ref="G21:G52" si="0">(E21*$C$13-D21*$C$10)/(E21-D21)</f>
        <v>#DIV/0!</v>
      </c>
      <c r="H21" s="71">
        <v>0</v>
      </c>
      <c r="I21" s="71">
        <v>0</v>
      </c>
      <c r="J21" s="71">
        <v>0</v>
      </c>
      <c r="K21" s="71">
        <v>0</v>
      </c>
      <c r="L21" s="96">
        <f t="shared" ref="L21:L84" si="1">IF(E21&gt;=($M$10*10^-3),$M$14*$Q$12,IF(E21&gt;=(-$M$10*10^-3),$M$16*E21*$Q$12,-$M$14*$Q$12))</f>
        <v>491727.54577927204</v>
      </c>
      <c r="M21" s="96">
        <v>0</v>
      </c>
      <c r="N21" s="96">
        <f t="shared" ref="N21:N84" si="2">IF(D21&gt;=($M$10*10^-3),$M$14*$Q$11,IF(D21&gt;=(-$M$10*10^-3),$Q$11*$M$16*D21,-$M$14*$Q$11))</f>
        <v>491727.54577927204</v>
      </c>
      <c r="O21" s="96">
        <f t="shared" ref="O21:O84" si="3">L21+M21+N21</f>
        <v>983455.09155854408</v>
      </c>
      <c r="P21" s="96">
        <f t="shared" ref="P21:P52" si="4">-L21*($C$13/2)+N21*($C$13/2)</f>
        <v>0</v>
      </c>
      <c r="Q21" s="97">
        <f t="shared" ref="Q21:Q84" si="5">-O21/($C$6*$C$13*$I$10*$I$16)</f>
        <v>-0.27969163735251007</v>
      </c>
      <c r="R21" s="97">
        <f t="shared" ref="R21:R84" si="6">P21/($C$6*$C$13^2*$I$10)</f>
        <v>0</v>
      </c>
      <c r="S21" s="71">
        <f t="shared" ref="S21:S84" si="7">-1*R21</f>
        <v>0</v>
      </c>
      <c r="T21" s="98">
        <f t="shared" ref="T21:T84" si="8">P21/O21</f>
        <v>0</v>
      </c>
      <c r="U21" s="99">
        <f t="shared" ref="U21:U84" si="9">T21/$C$13</f>
        <v>0</v>
      </c>
      <c r="V21" s="93" t="str">
        <f t="shared" ref="V21:V84" si="10">IF(T21&gt;=0, IF(T21&lt;=$C$8/6, "SI", "NO"),IF(T21&gt; -$C$8/6, "SI", "NO"))</f>
        <v>SI</v>
      </c>
      <c r="W21" s="95">
        <f t="shared" ref="W21:W84" si="11">-O21/10^3</f>
        <v>-983.45509155854404</v>
      </c>
      <c r="X21" s="95">
        <f t="shared" ref="X21:X84" si="12">P21/10^6</f>
        <v>0</v>
      </c>
      <c r="Y21" s="95">
        <f t="shared" ref="Y21:Y84" si="13">-P21/10^6</f>
        <v>0</v>
      </c>
      <c r="Z21" s="95">
        <f t="shared" ref="Z21:Z84" si="14">(L21+N21)/10^3</f>
        <v>983.45509155854404</v>
      </c>
      <c r="AA21" s="93" t="str">
        <f t="shared" ref="AA21:AA84" si="15">IF(Z21&lt;1,IF(Z21&gt;-1,"ROTTURA BILANCIATA",""),"")</f>
        <v/>
      </c>
      <c r="AB21" s="100"/>
      <c r="AC21" s="71"/>
      <c r="AD21" s="39"/>
    </row>
    <row r="22" spans="1:30" ht="18.75" x14ac:dyDescent="0.25">
      <c r="A22" s="39"/>
      <c r="B22" s="39"/>
      <c r="C22" s="93" t="s">
        <v>107</v>
      </c>
      <c r="D22" s="94">
        <f t="shared" ref="D22:D53" si="16">$M$8*10^-3</f>
        <v>6.7500000000000004E-2</v>
      </c>
      <c r="E22" s="94">
        <f t="shared" ref="E22:E53" si="17">E21-(D22-($C$10/$C$13*D22))/100</f>
        <v>6.6908426966292137E-2</v>
      </c>
      <c r="F22" s="93" t="s">
        <v>107</v>
      </c>
      <c r="G22" s="95">
        <f t="shared" si="0"/>
        <v>-35243.999999999847</v>
      </c>
      <c r="H22" s="71">
        <v>0</v>
      </c>
      <c r="I22" s="71">
        <v>0</v>
      </c>
      <c r="J22" s="71">
        <v>0</v>
      </c>
      <c r="K22" s="71">
        <v>0</v>
      </c>
      <c r="L22" s="96">
        <f t="shared" si="1"/>
        <v>491727.54577927204</v>
      </c>
      <c r="M22" s="96">
        <v>0</v>
      </c>
      <c r="N22" s="96">
        <f t="shared" si="2"/>
        <v>491727.54577927204</v>
      </c>
      <c r="O22" s="96">
        <f t="shared" si="3"/>
        <v>983455.09155854408</v>
      </c>
      <c r="P22" s="96">
        <f t="shared" si="4"/>
        <v>0</v>
      </c>
      <c r="Q22" s="97">
        <f t="shared" si="5"/>
        <v>-0.27969163735251007</v>
      </c>
      <c r="R22" s="97">
        <f t="shared" si="6"/>
        <v>0</v>
      </c>
      <c r="S22" s="71">
        <f t="shared" si="7"/>
        <v>0</v>
      </c>
      <c r="T22" s="98">
        <f t="shared" si="8"/>
        <v>0</v>
      </c>
      <c r="U22" s="99">
        <f t="shared" si="9"/>
        <v>0</v>
      </c>
      <c r="V22" s="93" t="str">
        <f t="shared" si="10"/>
        <v>SI</v>
      </c>
      <c r="W22" s="95">
        <f t="shared" si="11"/>
        <v>-983.45509155854404</v>
      </c>
      <c r="X22" s="95">
        <f t="shared" si="12"/>
        <v>0</v>
      </c>
      <c r="Y22" s="95">
        <f t="shared" si="13"/>
        <v>0</v>
      </c>
      <c r="Z22" s="95">
        <f t="shared" si="14"/>
        <v>983.45509155854404</v>
      </c>
      <c r="AA22" s="93" t="str">
        <f t="shared" si="15"/>
        <v/>
      </c>
      <c r="AB22" s="100"/>
      <c r="AC22" s="71"/>
      <c r="AD22" s="39"/>
    </row>
    <row r="23" spans="1:30" ht="18.75" x14ac:dyDescent="0.25">
      <c r="A23" s="39"/>
      <c r="B23" s="39"/>
      <c r="C23" s="93" t="s">
        <v>107</v>
      </c>
      <c r="D23" s="94">
        <f t="shared" si="16"/>
        <v>6.7500000000000004E-2</v>
      </c>
      <c r="E23" s="94">
        <f t="shared" si="17"/>
        <v>6.6316853932584269E-2</v>
      </c>
      <c r="F23" s="93" t="s">
        <v>107</v>
      </c>
      <c r="G23" s="95">
        <f t="shared" si="0"/>
        <v>-17443.99999999992</v>
      </c>
      <c r="H23" s="71">
        <v>0</v>
      </c>
      <c r="I23" s="71">
        <v>0</v>
      </c>
      <c r="J23" s="71">
        <v>0</v>
      </c>
      <c r="K23" s="71">
        <v>0</v>
      </c>
      <c r="L23" s="96">
        <f t="shared" si="1"/>
        <v>491727.54577927204</v>
      </c>
      <c r="M23" s="96">
        <v>0</v>
      </c>
      <c r="N23" s="96">
        <f t="shared" si="2"/>
        <v>491727.54577927204</v>
      </c>
      <c r="O23" s="96">
        <f t="shared" si="3"/>
        <v>983455.09155854408</v>
      </c>
      <c r="P23" s="96">
        <f t="shared" si="4"/>
        <v>0</v>
      </c>
      <c r="Q23" s="97">
        <f t="shared" si="5"/>
        <v>-0.27969163735251007</v>
      </c>
      <c r="R23" s="97">
        <f t="shared" si="6"/>
        <v>0</v>
      </c>
      <c r="S23" s="71">
        <f t="shared" si="7"/>
        <v>0</v>
      </c>
      <c r="T23" s="98">
        <f t="shared" si="8"/>
        <v>0</v>
      </c>
      <c r="U23" s="99">
        <f t="shared" si="9"/>
        <v>0</v>
      </c>
      <c r="V23" s="93" t="str">
        <f t="shared" si="10"/>
        <v>SI</v>
      </c>
      <c r="W23" s="95">
        <f t="shared" si="11"/>
        <v>-983.45509155854404</v>
      </c>
      <c r="X23" s="95">
        <f t="shared" si="12"/>
        <v>0</v>
      </c>
      <c r="Y23" s="95">
        <f t="shared" si="13"/>
        <v>0</v>
      </c>
      <c r="Z23" s="95">
        <f t="shared" si="14"/>
        <v>983.45509155854404</v>
      </c>
      <c r="AA23" s="93" t="str">
        <f t="shared" si="15"/>
        <v/>
      </c>
      <c r="AB23" s="100"/>
      <c r="AC23" s="71"/>
      <c r="AD23" s="39"/>
    </row>
    <row r="24" spans="1:30" ht="18.75" x14ac:dyDescent="0.25">
      <c r="A24" s="39"/>
      <c r="B24" s="39"/>
      <c r="C24" s="93" t="s">
        <v>107</v>
      </c>
      <c r="D24" s="94">
        <f t="shared" si="16"/>
        <v>6.7500000000000004E-2</v>
      </c>
      <c r="E24" s="94">
        <f t="shared" si="17"/>
        <v>6.5725280898876401E-2</v>
      </c>
      <c r="F24" s="93" t="s">
        <v>107</v>
      </c>
      <c r="G24" s="95">
        <f t="shared" si="0"/>
        <v>-11510.666666666615</v>
      </c>
      <c r="H24" s="71">
        <v>0</v>
      </c>
      <c r="I24" s="71">
        <v>0</v>
      </c>
      <c r="J24" s="71">
        <v>0</v>
      </c>
      <c r="K24" s="71">
        <v>0</v>
      </c>
      <c r="L24" s="96">
        <f t="shared" si="1"/>
        <v>491727.54577927204</v>
      </c>
      <c r="M24" s="96">
        <v>0</v>
      </c>
      <c r="N24" s="96">
        <f t="shared" si="2"/>
        <v>491727.54577927204</v>
      </c>
      <c r="O24" s="96">
        <f t="shared" si="3"/>
        <v>983455.09155854408</v>
      </c>
      <c r="P24" s="96">
        <f t="shared" si="4"/>
        <v>0</v>
      </c>
      <c r="Q24" s="97">
        <f t="shared" si="5"/>
        <v>-0.27969163735251007</v>
      </c>
      <c r="R24" s="97">
        <f t="shared" si="6"/>
        <v>0</v>
      </c>
      <c r="S24" s="71">
        <f t="shared" si="7"/>
        <v>0</v>
      </c>
      <c r="T24" s="98">
        <f t="shared" si="8"/>
        <v>0</v>
      </c>
      <c r="U24" s="99">
        <f t="shared" si="9"/>
        <v>0</v>
      </c>
      <c r="V24" s="93" t="str">
        <f t="shared" si="10"/>
        <v>SI</v>
      </c>
      <c r="W24" s="95">
        <f t="shared" si="11"/>
        <v>-983.45509155854404</v>
      </c>
      <c r="X24" s="95">
        <f t="shared" si="12"/>
        <v>0</v>
      </c>
      <c r="Y24" s="95">
        <f t="shared" si="13"/>
        <v>0</v>
      </c>
      <c r="Z24" s="95">
        <f t="shared" si="14"/>
        <v>983.45509155854404</v>
      </c>
      <c r="AA24" s="93" t="str">
        <f t="shared" si="15"/>
        <v/>
      </c>
      <c r="AB24" s="100"/>
      <c r="AC24" s="71"/>
      <c r="AD24" s="39"/>
    </row>
    <row r="25" spans="1:30" ht="18.75" x14ac:dyDescent="0.25">
      <c r="A25" s="39"/>
      <c r="B25" s="39"/>
      <c r="C25" s="93" t="s">
        <v>107</v>
      </c>
      <c r="D25" s="94">
        <f t="shared" si="16"/>
        <v>6.7500000000000004E-2</v>
      </c>
      <c r="E25" s="94">
        <f t="shared" si="17"/>
        <v>6.5133707865168533E-2</v>
      </c>
      <c r="F25" s="93" t="s">
        <v>107</v>
      </c>
      <c r="G25" s="95">
        <f t="shared" si="0"/>
        <v>-8543.99999999996</v>
      </c>
      <c r="H25" s="71">
        <v>0</v>
      </c>
      <c r="I25" s="71">
        <v>0</v>
      </c>
      <c r="J25" s="71">
        <v>0</v>
      </c>
      <c r="K25" s="71">
        <v>0</v>
      </c>
      <c r="L25" s="96">
        <f t="shared" si="1"/>
        <v>491727.54577927204</v>
      </c>
      <c r="M25" s="96">
        <v>0</v>
      </c>
      <c r="N25" s="96">
        <f t="shared" si="2"/>
        <v>491727.54577927204</v>
      </c>
      <c r="O25" s="96">
        <f t="shared" si="3"/>
        <v>983455.09155854408</v>
      </c>
      <c r="P25" s="96">
        <f t="shared" si="4"/>
        <v>0</v>
      </c>
      <c r="Q25" s="97">
        <f t="shared" si="5"/>
        <v>-0.27969163735251007</v>
      </c>
      <c r="R25" s="97">
        <f t="shared" si="6"/>
        <v>0</v>
      </c>
      <c r="S25" s="71">
        <f t="shared" si="7"/>
        <v>0</v>
      </c>
      <c r="T25" s="98">
        <f t="shared" si="8"/>
        <v>0</v>
      </c>
      <c r="U25" s="99">
        <f t="shared" si="9"/>
        <v>0</v>
      </c>
      <c r="V25" s="93" t="str">
        <f t="shared" si="10"/>
        <v>SI</v>
      </c>
      <c r="W25" s="95">
        <f t="shared" si="11"/>
        <v>-983.45509155854404</v>
      </c>
      <c r="X25" s="95">
        <f t="shared" si="12"/>
        <v>0</v>
      </c>
      <c r="Y25" s="95">
        <f t="shared" si="13"/>
        <v>0</v>
      </c>
      <c r="Z25" s="95">
        <f t="shared" si="14"/>
        <v>983.45509155854404</v>
      </c>
      <c r="AA25" s="93" t="str">
        <f t="shared" si="15"/>
        <v/>
      </c>
      <c r="AB25" s="100"/>
      <c r="AC25" s="71"/>
      <c r="AD25" s="39"/>
    </row>
    <row r="26" spans="1:30" ht="18.75" x14ac:dyDescent="0.25">
      <c r="A26" s="39"/>
      <c r="B26" s="39"/>
      <c r="C26" s="93" t="s">
        <v>107</v>
      </c>
      <c r="D26" s="94">
        <f t="shared" si="16"/>
        <v>6.7500000000000004E-2</v>
      </c>
      <c r="E26" s="94">
        <f t="shared" si="17"/>
        <v>6.4542134831460665E-2</v>
      </c>
      <c r="F26" s="93" t="s">
        <v>107</v>
      </c>
      <c r="G26" s="95">
        <f t="shared" si="0"/>
        <v>-6763.9999999999691</v>
      </c>
      <c r="H26" s="71">
        <v>0</v>
      </c>
      <c r="I26" s="71">
        <v>0</v>
      </c>
      <c r="J26" s="71">
        <v>0</v>
      </c>
      <c r="K26" s="71">
        <v>0</v>
      </c>
      <c r="L26" s="96">
        <f t="shared" si="1"/>
        <v>491727.54577927204</v>
      </c>
      <c r="M26" s="96">
        <v>0</v>
      </c>
      <c r="N26" s="96">
        <f t="shared" si="2"/>
        <v>491727.54577927204</v>
      </c>
      <c r="O26" s="96">
        <f t="shared" si="3"/>
        <v>983455.09155854408</v>
      </c>
      <c r="P26" s="96">
        <f t="shared" si="4"/>
        <v>0</v>
      </c>
      <c r="Q26" s="97">
        <f t="shared" si="5"/>
        <v>-0.27969163735251007</v>
      </c>
      <c r="R26" s="97">
        <f t="shared" si="6"/>
        <v>0</v>
      </c>
      <c r="S26" s="71">
        <f t="shared" si="7"/>
        <v>0</v>
      </c>
      <c r="T26" s="98">
        <f t="shared" si="8"/>
        <v>0</v>
      </c>
      <c r="U26" s="99">
        <f t="shared" si="9"/>
        <v>0</v>
      </c>
      <c r="V26" s="93" t="str">
        <f t="shared" si="10"/>
        <v>SI</v>
      </c>
      <c r="W26" s="95">
        <f t="shared" si="11"/>
        <v>-983.45509155854404</v>
      </c>
      <c r="X26" s="95">
        <f t="shared" si="12"/>
        <v>0</v>
      </c>
      <c r="Y26" s="95">
        <f t="shared" si="13"/>
        <v>0</v>
      </c>
      <c r="Z26" s="95">
        <f t="shared" si="14"/>
        <v>983.45509155854404</v>
      </c>
      <c r="AA26" s="93" t="str">
        <f t="shared" si="15"/>
        <v/>
      </c>
      <c r="AB26" s="100"/>
      <c r="AC26" s="71"/>
      <c r="AD26" s="39"/>
    </row>
    <row r="27" spans="1:30" ht="18.75" x14ac:dyDescent="0.25">
      <c r="A27" s="39"/>
      <c r="B27" s="39"/>
      <c r="C27" s="93" t="s">
        <v>107</v>
      </c>
      <c r="D27" s="94">
        <f t="shared" si="16"/>
        <v>6.7500000000000004E-2</v>
      </c>
      <c r="E27" s="94">
        <f t="shared" si="17"/>
        <v>6.3950561797752797E-2</v>
      </c>
      <c r="F27" s="93" t="s">
        <v>107</v>
      </c>
      <c r="G27" s="95">
        <f t="shared" si="0"/>
        <v>-5577.3333333333076</v>
      </c>
      <c r="H27" s="71">
        <v>0</v>
      </c>
      <c r="I27" s="71">
        <v>0</v>
      </c>
      <c r="J27" s="71">
        <v>0</v>
      </c>
      <c r="K27" s="71">
        <v>0</v>
      </c>
      <c r="L27" s="96">
        <f t="shared" si="1"/>
        <v>491727.54577927204</v>
      </c>
      <c r="M27" s="96">
        <v>0</v>
      </c>
      <c r="N27" s="96">
        <f t="shared" si="2"/>
        <v>491727.54577927204</v>
      </c>
      <c r="O27" s="96">
        <f t="shared" si="3"/>
        <v>983455.09155854408</v>
      </c>
      <c r="P27" s="96">
        <f t="shared" si="4"/>
        <v>0</v>
      </c>
      <c r="Q27" s="97">
        <f t="shared" si="5"/>
        <v>-0.27969163735251007</v>
      </c>
      <c r="R27" s="97">
        <f t="shared" si="6"/>
        <v>0</v>
      </c>
      <c r="S27" s="71">
        <f t="shared" si="7"/>
        <v>0</v>
      </c>
      <c r="T27" s="98">
        <f t="shared" si="8"/>
        <v>0</v>
      </c>
      <c r="U27" s="99">
        <f t="shared" si="9"/>
        <v>0</v>
      </c>
      <c r="V27" s="93" t="str">
        <f t="shared" si="10"/>
        <v>SI</v>
      </c>
      <c r="W27" s="95">
        <f t="shared" si="11"/>
        <v>-983.45509155854404</v>
      </c>
      <c r="X27" s="95">
        <f t="shared" si="12"/>
        <v>0</v>
      </c>
      <c r="Y27" s="95">
        <f t="shared" si="13"/>
        <v>0</v>
      </c>
      <c r="Z27" s="95">
        <f t="shared" si="14"/>
        <v>983.45509155854404</v>
      </c>
      <c r="AA27" s="93" t="str">
        <f t="shared" si="15"/>
        <v/>
      </c>
      <c r="AB27" s="100"/>
      <c r="AC27" s="71"/>
      <c r="AD27" s="39"/>
    </row>
    <row r="28" spans="1:30" ht="18.75" x14ac:dyDescent="0.25">
      <c r="A28" s="39"/>
      <c r="B28" s="39"/>
      <c r="C28" s="93" t="s">
        <v>107</v>
      </c>
      <c r="D28" s="94">
        <f t="shared" si="16"/>
        <v>6.7500000000000004E-2</v>
      </c>
      <c r="E28" s="94">
        <f t="shared" si="17"/>
        <v>6.335898876404493E-2</v>
      </c>
      <c r="F28" s="93" t="s">
        <v>107</v>
      </c>
      <c r="G28" s="95">
        <f t="shared" si="0"/>
        <v>-4729.7142857142635</v>
      </c>
      <c r="H28" s="71">
        <v>0</v>
      </c>
      <c r="I28" s="71">
        <v>0</v>
      </c>
      <c r="J28" s="71">
        <v>0</v>
      </c>
      <c r="K28" s="71">
        <v>0</v>
      </c>
      <c r="L28" s="96">
        <f t="shared" si="1"/>
        <v>491727.54577927204</v>
      </c>
      <c r="M28" s="96">
        <v>0</v>
      </c>
      <c r="N28" s="96">
        <f t="shared" si="2"/>
        <v>491727.54577927204</v>
      </c>
      <c r="O28" s="96">
        <f t="shared" si="3"/>
        <v>983455.09155854408</v>
      </c>
      <c r="P28" s="96">
        <f t="shared" si="4"/>
        <v>0</v>
      </c>
      <c r="Q28" s="97">
        <f t="shared" si="5"/>
        <v>-0.27969163735251007</v>
      </c>
      <c r="R28" s="97">
        <f t="shared" si="6"/>
        <v>0</v>
      </c>
      <c r="S28" s="71">
        <f t="shared" si="7"/>
        <v>0</v>
      </c>
      <c r="T28" s="98">
        <f t="shared" si="8"/>
        <v>0</v>
      </c>
      <c r="U28" s="99">
        <f t="shared" si="9"/>
        <v>0</v>
      </c>
      <c r="V28" s="93" t="str">
        <f t="shared" si="10"/>
        <v>SI</v>
      </c>
      <c r="W28" s="95">
        <f t="shared" si="11"/>
        <v>-983.45509155854404</v>
      </c>
      <c r="X28" s="95">
        <f t="shared" si="12"/>
        <v>0</v>
      </c>
      <c r="Y28" s="95">
        <f t="shared" si="13"/>
        <v>0</v>
      </c>
      <c r="Z28" s="95">
        <f t="shared" si="14"/>
        <v>983.45509155854404</v>
      </c>
      <c r="AA28" s="93" t="str">
        <f t="shared" si="15"/>
        <v/>
      </c>
      <c r="AB28" s="100"/>
      <c r="AC28" s="71"/>
      <c r="AD28" s="39"/>
    </row>
    <row r="29" spans="1:30" ht="18.75" x14ac:dyDescent="0.25">
      <c r="A29" s="39"/>
      <c r="B29" s="39"/>
      <c r="C29" s="93" t="s">
        <v>107</v>
      </c>
      <c r="D29" s="94">
        <f t="shared" si="16"/>
        <v>6.7500000000000004E-2</v>
      </c>
      <c r="E29" s="94">
        <f t="shared" si="17"/>
        <v>6.2767415730337062E-2</v>
      </c>
      <c r="F29" s="93" t="s">
        <v>107</v>
      </c>
      <c r="G29" s="95">
        <f t="shared" si="0"/>
        <v>-4093.9999999999804</v>
      </c>
      <c r="H29" s="71">
        <v>0</v>
      </c>
      <c r="I29" s="71">
        <v>0</v>
      </c>
      <c r="J29" s="71">
        <v>0</v>
      </c>
      <c r="K29" s="71">
        <v>0</v>
      </c>
      <c r="L29" s="96">
        <f t="shared" si="1"/>
        <v>491727.54577927204</v>
      </c>
      <c r="M29" s="96">
        <v>0</v>
      </c>
      <c r="N29" s="96">
        <f t="shared" si="2"/>
        <v>491727.54577927204</v>
      </c>
      <c r="O29" s="96">
        <f t="shared" si="3"/>
        <v>983455.09155854408</v>
      </c>
      <c r="P29" s="96">
        <f t="shared" si="4"/>
        <v>0</v>
      </c>
      <c r="Q29" s="97">
        <f t="shared" si="5"/>
        <v>-0.27969163735251007</v>
      </c>
      <c r="R29" s="97">
        <f t="shared" si="6"/>
        <v>0</v>
      </c>
      <c r="S29" s="71">
        <f t="shared" si="7"/>
        <v>0</v>
      </c>
      <c r="T29" s="98">
        <f t="shared" si="8"/>
        <v>0</v>
      </c>
      <c r="U29" s="99">
        <f t="shared" si="9"/>
        <v>0</v>
      </c>
      <c r="V29" s="93" t="str">
        <f t="shared" si="10"/>
        <v>SI</v>
      </c>
      <c r="W29" s="95">
        <f t="shared" si="11"/>
        <v>-983.45509155854404</v>
      </c>
      <c r="X29" s="95">
        <f t="shared" si="12"/>
        <v>0</v>
      </c>
      <c r="Y29" s="95">
        <f t="shared" si="13"/>
        <v>0</v>
      </c>
      <c r="Z29" s="95">
        <f t="shared" si="14"/>
        <v>983.45509155854404</v>
      </c>
      <c r="AA29" s="93" t="str">
        <f t="shared" si="15"/>
        <v/>
      </c>
      <c r="AB29" s="100"/>
      <c r="AC29" s="71"/>
      <c r="AD29" s="39"/>
    </row>
    <row r="30" spans="1:30" ht="18.75" x14ac:dyDescent="0.25">
      <c r="A30" s="39"/>
      <c r="B30" s="39"/>
      <c r="C30" s="93" t="s">
        <v>107</v>
      </c>
      <c r="D30" s="94">
        <f t="shared" si="16"/>
        <v>6.7500000000000004E-2</v>
      </c>
      <c r="E30" s="94">
        <f t="shared" si="17"/>
        <v>6.2175842696629194E-2</v>
      </c>
      <c r="F30" s="93" t="s">
        <v>107</v>
      </c>
      <c r="G30" s="95">
        <f t="shared" si="0"/>
        <v>-3599.5555555555379</v>
      </c>
      <c r="H30" s="71">
        <v>0</v>
      </c>
      <c r="I30" s="71">
        <v>0</v>
      </c>
      <c r="J30" s="71">
        <v>0</v>
      </c>
      <c r="K30" s="71">
        <v>0</v>
      </c>
      <c r="L30" s="96">
        <f t="shared" si="1"/>
        <v>491727.54577927204</v>
      </c>
      <c r="M30" s="96">
        <v>0</v>
      </c>
      <c r="N30" s="96">
        <f t="shared" si="2"/>
        <v>491727.54577927204</v>
      </c>
      <c r="O30" s="96">
        <f t="shared" si="3"/>
        <v>983455.09155854408</v>
      </c>
      <c r="P30" s="96">
        <f t="shared" si="4"/>
        <v>0</v>
      </c>
      <c r="Q30" s="97">
        <f t="shared" si="5"/>
        <v>-0.27969163735251007</v>
      </c>
      <c r="R30" s="97">
        <f t="shared" si="6"/>
        <v>0</v>
      </c>
      <c r="S30" s="71">
        <f t="shared" si="7"/>
        <v>0</v>
      </c>
      <c r="T30" s="98">
        <f t="shared" si="8"/>
        <v>0</v>
      </c>
      <c r="U30" s="99">
        <f t="shared" si="9"/>
        <v>0</v>
      </c>
      <c r="V30" s="93" t="str">
        <f t="shared" si="10"/>
        <v>SI</v>
      </c>
      <c r="W30" s="95">
        <f t="shared" si="11"/>
        <v>-983.45509155854404</v>
      </c>
      <c r="X30" s="95">
        <f t="shared" si="12"/>
        <v>0</v>
      </c>
      <c r="Y30" s="95">
        <f t="shared" si="13"/>
        <v>0</v>
      </c>
      <c r="Z30" s="95">
        <f t="shared" si="14"/>
        <v>983.45509155854404</v>
      </c>
      <c r="AA30" s="93" t="str">
        <f t="shared" si="15"/>
        <v/>
      </c>
      <c r="AB30" s="100"/>
      <c r="AC30" s="71"/>
      <c r="AD30" s="39"/>
    </row>
    <row r="31" spans="1:30" ht="18.75" x14ac:dyDescent="0.25">
      <c r="A31" s="39"/>
      <c r="B31" s="39"/>
      <c r="C31" s="93" t="s">
        <v>107</v>
      </c>
      <c r="D31" s="94">
        <f t="shared" si="16"/>
        <v>6.7500000000000004E-2</v>
      </c>
      <c r="E31" s="94">
        <f t="shared" si="17"/>
        <v>6.1584269662921326E-2</v>
      </c>
      <c r="F31" s="93" t="s">
        <v>107</v>
      </c>
      <c r="G31" s="95">
        <f t="shared" si="0"/>
        <v>-3203.9999999999845</v>
      </c>
      <c r="H31" s="71">
        <v>0</v>
      </c>
      <c r="I31" s="71">
        <v>0</v>
      </c>
      <c r="J31" s="71">
        <v>0</v>
      </c>
      <c r="K31" s="71">
        <v>0</v>
      </c>
      <c r="L31" s="96">
        <f t="shared" si="1"/>
        <v>491727.54577927204</v>
      </c>
      <c r="M31" s="96">
        <v>0</v>
      </c>
      <c r="N31" s="96">
        <f t="shared" si="2"/>
        <v>491727.54577927204</v>
      </c>
      <c r="O31" s="96">
        <f t="shared" si="3"/>
        <v>983455.09155854408</v>
      </c>
      <c r="P31" s="96">
        <f t="shared" si="4"/>
        <v>0</v>
      </c>
      <c r="Q31" s="97">
        <f t="shared" si="5"/>
        <v>-0.27969163735251007</v>
      </c>
      <c r="R31" s="97">
        <f t="shared" si="6"/>
        <v>0</v>
      </c>
      <c r="S31" s="71">
        <f t="shared" si="7"/>
        <v>0</v>
      </c>
      <c r="T31" s="98">
        <f t="shared" si="8"/>
        <v>0</v>
      </c>
      <c r="U31" s="99">
        <f t="shared" si="9"/>
        <v>0</v>
      </c>
      <c r="V31" s="93" t="str">
        <f t="shared" si="10"/>
        <v>SI</v>
      </c>
      <c r="W31" s="95">
        <f t="shared" si="11"/>
        <v>-983.45509155854404</v>
      </c>
      <c r="X31" s="95">
        <f t="shared" si="12"/>
        <v>0</v>
      </c>
      <c r="Y31" s="95">
        <f t="shared" si="13"/>
        <v>0</v>
      </c>
      <c r="Z31" s="95">
        <f t="shared" si="14"/>
        <v>983.45509155854404</v>
      </c>
      <c r="AA31" s="93" t="str">
        <f t="shared" si="15"/>
        <v/>
      </c>
      <c r="AB31" s="100"/>
      <c r="AC31" s="71"/>
      <c r="AD31" s="39"/>
    </row>
    <row r="32" spans="1:30" ht="18.75" x14ac:dyDescent="0.25">
      <c r="A32" s="39"/>
      <c r="B32" s="39"/>
      <c r="C32" s="93" t="s">
        <v>107</v>
      </c>
      <c r="D32" s="94">
        <f t="shared" si="16"/>
        <v>6.7500000000000004E-2</v>
      </c>
      <c r="E32" s="94">
        <f t="shared" si="17"/>
        <v>6.0992696629213458E-2</v>
      </c>
      <c r="F32" s="93" t="s">
        <v>107</v>
      </c>
      <c r="G32" s="95">
        <f t="shared" si="0"/>
        <v>-2880.3636363636219</v>
      </c>
      <c r="H32" s="71">
        <v>0</v>
      </c>
      <c r="I32" s="71">
        <v>0</v>
      </c>
      <c r="J32" s="71">
        <v>0</v>
      </c>
      <c r="K32" s="71">
        <v>0</v>
      </c>
      <c r="L32" s="96">
        <f t="shared" si="1"/>
        <v>491727.54577927204</v>
      </c>
      <c r="M32" s="96">
        <v>0</v>
      </c>
      <c r="N32" s="96">
        <f t="shared" si="2"/>
        <v>491727.54577927204</v>
      </c>
      <c r="O32" s="96">
        <f t="shared" si="3"/>
        <v>983455.09155854408</v>
      </c>
      <c r="P32" s="96">
        <f t="shared" si="4"/>
        <v>0</v>
      </c>
      <c r="Q32" s="97">
        <f t="shared" si="5"/>
        <v>-0.27969163735251007</v>
      </c>
      <c r="R32" s="97">
        <f t="shared" si="6"/>
        <v>0</v>
      </c>
      <c r="S32" s="71">
        <f t="shared" si="7"/>
        <v>0</v>
      </c>
      <c r="T32" s="98">
        <f t="shared" si="8"/>
        <v>0</v>
      </c>
      <c r="U32" s="99">
        <f t="shared" si="9"/>
        <v>0</v>
      </c>
      <c r="V32" s="93" t="str">
        <f t="shared" si="10"/>
        <v>SI</v>
      </c>
      <c r="W32" s="95">
        <f t="shared" si="11"/>
        <v>-983.45509155854404</v>
      </c>
      <c r="X32" s="95">
        <f t="shared" si="12"/>
        <v>0</v>
      </c>
      <c r="Y32" s="95">
        <f t="shared" si="13"/>
        <v>0</v>
      </c>
      <c r="Z32" s="95">
        <f t="shared" si="14"/>
        <v>983.45509155854404</v>
      </c>
      <c r="AA32" s="93" t="str">
        <f t="shared" si="15"/>
        <v/>
      </c>
      <c r="AB32" s="100"/>
      <c r="AC32" s="71"/>
      <c r="AD32" s="39"/>
    </row>
    <row r="33" spans="1:30" ht="18.75" x14ac:dyDescent="0.25">
      <c r="A33" s="39"/>
      <c r="B33" s="39"/>
      <c r="C33" s="93" t="s">
        <v>107</v>
      </c>
      <c r="D33" s="94">
        <f t="shared" si="16"/>
        <v>6.7500000000000004E-2</v>
      </c>
      <c r="E33" s="94">
        <f t="shared" si="17"/>
        <v>6.040112359550559E-2</v>
      </c>
      <c r="F33" s="93" t="s">
        <v>107</v>
      </c>
      <c r="G33" s="95">
        <f t="shared" si="0"/>
        <v>-2610.6666666666538</v>
      </c>
      <c r="H33" s="71">
        <v>0</v>
      </c>
      <c r="I33" s="71">
        <v>0</v>
      </c>
      <c r="J33" s="71">
        <v>0</v>
      </c>
      <c r="K33" s="71">
        <v>0</v>
      </c>
      <c r="L33" s="96">
        <f t="shared" si="1"/>
        <v>491727.54577927204</v>
      </c>
      <c r="M33" s="96">
        <v>0</v>
      </c>
      <c r="N33" s="96">
        <f t="shared" si="2"/>
        <v>491727.54577927204</v>
      </c>
      <c r="O33" s="96">
        <f t="shared" si="3"/>
        <v>983455.09155854408</v>
      </c>
      <c r="P33" s="96">
        <f t="shared" si="4"/>
        <v>0</v>
      </c>
      <c r="Q33" s="97">
        <f t="shared" si="5"/>
        <v>-0.27969163735251007</v>
      </c>
      <c r="R33" s="97">
        <f t="shared" si="6"/>
        <v>0</v>
      </c>
      <c r="S33" s="71">
        <f t="shared" si="7"/>
        <v>0</v>
      </c>
      <c r="T33" s="98">
        <f t="shared" si="8"/>
        <v>0</v>
      </c>
      <c r="U33" s="99">
        <f t="shared" si="9"/>
        <v>0</v>
      </c>
      <c r="V33" s="93" t="str">
        <f t="shared" si="10"/>
        <v>SI</v>
      </c>
      <c r="W33" s="95">
        <f t="shared" si="11"/>
        <v>-983.45509155854404</v>
      </c>
      <c r="X33" s="95">
        <f t="shared" si="12"/>
        <v>0</v>
      </c>
      <c r="Y33" s="95">
        <f t="shared" si="13"/>
        <v>0</v>
      </c>
      <c r="Z33" s="95">
        <f t="shared" si="14"/>
        <v>983.45509155854404</v>
      </c>
      <c r="AA33" s="93" t="str">
        <f t="shared" si="15"/>
        <v/>
      </c>
      <c r="AB33" s="100"/>
      <c r="AC33" s="71"/>
      <c r="AD33" s="39"/>
    </row>
    <row r="34" spans="1:30" ht="18.75" x14ac:dyDescent="0.25">
      <c r="A34" s="39"/>
      <c r="B34" s="39"/>
      <c r="C34" s="93" t="s">
        <v>107</v>
      </c>
      <c r="D34" s="94">
        <f t="shared" si="16"/>
        <v>6.7500000000000004E-2</v>
      </c>
      <c r="E34" s="94">
        <f t="shared" si="17"/>
        <v>5.9809550561797722E-2</v>
      </c>
      <c r="F34" s="93" t="s">
        <v>107</v>
      </c>
      <c r="G34" s="95">
        <f t="shared" si="0"/>
        <v>-2382.4615384615267</v>
      </c>
      <c r="H34" s="71">
        <v>0</v>
      </c>
      <c r="I34" s="71">
        <v>0</v>
      </c>
      <c r="J34" s="71">
        <v>0</v>
      </c>
      <c r="K34" s="71">
        <v>0</v>
      </c>
      <c r="L34" s="96">
        <f t="shared" si="1"/>
        <v>491727.54577927204</v>
      </c>
      <c r="M34" s="96">
        <v>0</v>
      </c>
      <c r="N34" s="96">
        <f t="shared" si="2"/>
        <v>491727.54577927204</v>
      </c>
      <c r="O34" s="96">
        <f t="shared" si="3"/>
        <v>983455.09155854408</v>
      </c>
      <c r="P34" s="96">
        <f t="shared" si="4"/>
        <v>0</v>
      </c>
      <c r="Q34" s="97">
        <f t="shared" si="5"/>
        <v>-0.27969163735251007</v>
      </c>
      <c r="R34" s="97">
        <f t="shared" si="6"/>
        <v>0</v>
      </c>
      <c r="S34" s="71">
        <f t="shared" si="7"/>
        <v>0</v>
      </c>
      <c r="T34" s="98">
        <f t="shared" si="8"/>
        <v>0</v>
      </c>
      <c r="U34" s="99">
        <f t="shared" si="9"/>
        <v>0</v>
      </c>
      <c r="V34" s="93" t="str">
        <f t="shared" si="10"/>
        <v>SI</v>
      </c>
      <c r="W34" s="95">
        <f t="shared" si="11"/>
        <v>-983.45509155854404</v>
      </c>
      <c r="X34" s="95">
        <f t="shared" si="12"/>
        <v>0</v>
      </c>
      <c r="Y34" s="95">
        <f t="shared" si="13"/>
        <v>0</v>
      </c>
      <c r="Z34" s="95">
        <f t="shared" si="14"/>
        <v>983.45509155854404</v>
      </c>
      <c r="AA34" s="93" t="str">
        <f t="shared" si="15"/>
        <v/>
      </c>
      <c r="AB34" s="100"/>
      <c r="AC34" s="71"/>
      <c r="AD34" s="39"/>
    </row>
    <row r="35" spans="1:30" ht="18.75" x14ac:dyDescent="0.25">
      <c r="A35" s="39"/>
      <c r="B35" s="39"/>
      <c r="C35" s="93" t="s">
        <v>107</v>
      </c>
      <c r="D35" s="94">
        <f t="shared" si="16"/>
        <v>6.7500000000000004E-2</v>
      </c>
      <c r="E35" s="94">
        <f t="shared" si="17"/>
        <v>5.9217977528089855E-2</v>
      </c>
      <c r="F35" s="93" t="s">
        <v>107</v>
      </c>
      <c r="G35" s="95">
        <f t="shared" si="0"/>
        <v>-2186.8571428571317</v>
      </c>
      <c r="H35" s="71">
        <v>0</v>
      </c>
      <c r="I35" s="71">
        <v>0</v>
      </c>
      <c r="J35" s="71">
        <v>0</v>
      </c>
      <c r="K35" s="71">
        <v>0</v>
      </c>
      <c r="L35" s="96">
        <f t="shared" si="1"/>
        <v>491727.54577927204</v>
      </c>
      <c r="M35" s="96">
        <v>0</v>
      </c>
      <c r="N35" s="96">
        <f t="shared" si="2"/>
        <v>491727.54577927204</v>
      </c>
      <c r="O35" s="96">
        <f t="shared" si="3"/>
        <v>983455.09155854408</v>
      </c>
      <c r="P35" s="96">
        <f t="shared" si="4"/>
        <v>0</v>
      </c>
      <c r="Q35" s="97">
        <f t="shared" si="5"/>
        <v>-0.27969163735251007</v>
      </c>
      <c r="R35" s="97">
        <f t="shared" si="6"/>
        <v>0</v>
      </c>
      <c r="S35" s="71">
        <f t="shared" si="7"/>
        <v>0</v>
      </c>
      <c r="T35" s="98">
        <f t="shared" si="8"/>
        <v>0</v>
      </c>
      <c r="U35" s="99">
        <f t="shared" si="9"/>
        <v>0</v>
      </c>
      <c r="V35" s="93" t="str">
        <f t="shared" si="10"/>
        <v>SI</v>
      </c>
      <c r="W35" s="95">
        <f t="shared" si="11"/>
        <v>-983.45509155854404</v>
      </c>
      <c r="X35" s="95">
        <f t="shared" si="12"/>
        <v>0</v>
      </c>
      <c r="Y35" s="95">
        <f t="shared" si="13"/>
        <v>0</v>
      </c>
      <c r="Z35" s="95">
        <f t="shared" si="14"/>
        <v>983.45509155854404</v>
      </c>
      <c r="AA35" s="93" t="str">
        <f t="shared" si="15"/>
        <v/>
      </c>
      <c r="AB35" s="100"/>
      <c r="AC35" s="71"/>
      <c r="AD35" s="39"/>
    </row>
    <row r="36" spans="1:30" ht="18.75" x14ac:dyDescent="0.25">
      <c r="A36" s="39"/>
      <c r="B36" s="39"/>
      <c r="C36" s="93" t="s">
        <v>107</v>
      </c>
      <c r="D36" s="94">
        <f t="shared" si="16"/>
        <v>6.7500000000000004E-2</v>
      </c>
      <c r="E36" s="94">
        <f t="shared" si="17"/>
        <v>5.8626404494381987E-2</v>
      </c>
      <c r="F36" s="93" t="s">
        <v>107</v>
      </c>
      <c r="G36" s="95">
        <f t="shared" si="0"/>
        <v>-2017.333333333323</v>
      </c>
      <c r="H36" s="71">
        <v>0</v>
      </c>
      <c r="I36" s="71">
        <v>0</v>
      </c>
      <c r="J36" s="71">
        <v>0</v>
      </c>
      <c r="K36" s="71">
        <v>0</v>
      </c>
      <c r="L36" s="96">
        <f t="shared" si="1"/>
        <v>491727.54577927204</v>
      </c>
      <c r="M36" s="96">
        <v>0</v>
      </c>
      <c r="N36" s="96">
        <f t="shared" si="2"/>
        <v>491727.54577927204</v>
      </c>
      <c r="O36" s="96">
        <f t="shared" si="3"/>
        <v>983455.09155854408</v>
      </c>
      <c r="P36" s="96">
        <f t="shared" si="4"/>
        <v>0</v>
      </c>
      <c r="Q36" s="97">
        <f t="shared" si="5"/>
        <v>-0.27969163735251007</v>
      </c>
      <c r="R36" s="97">
        <f t="shared" si="6"/>
        <v>0</v>
      </c>
      <c r="S36" s="71">
        <f t="shared" si="7"/>
        <v>0</v>
      </c>
      <c r="T36" s="98">
        <f t="shared" si="8"/>
        <v>0</v>
      </c>
      <c r="U36" s="99">
        <f t="shared" si="9"/>
        <v>0</v>
      </c>
      <c r="V36" s="93" t="str">
        <f t="shared" si="10"/>
        <v>SI</v>
      </c>
      <c r="W36" s="95">
        <f t="shared" si="11"/>
        <v>-983.45509155854404</v>
      </c>
      <c r="X36" s="95">
        <f t="shared" si="12"/>
        <v>0</v>
      </c>
      <c r="Y36" s="95">
        <f t="shared" si="13"/>
        <v>0</v>
      </c>
      <c r="Z36" s="95">
        <f t="shared" si="14"/>
        <v>983.45509155854404</v>
      </c>
      <c r="AA36" s="93" t="str">
        <f t="shared" si="15"/>
        <v/>
      </c>
      <c r="AB36" s="100"/>
      <c r="AC36" s="71"/>
      <c r="AD36" s="39"/>
    </row>
    <row r="37" spans="1:30" ht="18.75" x14ac:dyDescent="0.25">
      <c r="A37" s="39"/>
      <c r="B37" s="39"/>
      <c r="C37" s="93" t="s">
        <v>107</v>
      </c>
      <c r="D37" s="94">
        <f t="shared" si="16"/>
        <v>6.7500000000000004E-2</v>
      </c>
      <c r="E37" s="94">
        <f t="shared" si="17"/>
        <v>5.8034831460674119E-2</v>
      </c>
      <c r="F37" s="93" t="s">
        <v>107</v>
      </c>
      <c r="G37" s="95">
        <f t="shared" si="0"/>
        <v>-1868.99999999999</v>
      </c>
      <c r="H37" s="71">
        <v>0</v>
      </c>
      <c r="I37" s="71">
        <v>0</v>
      </c>
      <c r="J37" s="71">
        <v>0</v>
      </c>
      <c r="K37" s="71">
        <v>0</v>
      </c>
      <c r="L37" s="96">
        <f t="shared" si="1"/>
        <v>491727.54577927204</v>
      </c>
      <c r="M37" s="96">
        <v>0</v>
      </c>
      <c r="N37" s="96">
        <f t="shared" si="2"/>
        <v>491727.54577927204</v>
      </c>
      <c r="O37" s="96">
        <f t="shared" si="3"/>
        <v>983455.09155854408</v>
      </c>
      <c r="P37" s="96">
        <f t="shared" si="4"/>
        <v>0</v>
      </c>
      <c r="Q37" s="97">
        <f t="shared" si="5"/>
        <v>-0.27969163735251007</v>
      </c>
      <c r="R37" s="97">
        <f t="shared" si="6"/>
        <v>0</v>
      </c>
      <c r="S37" s="71">
        <f t="shared" si="7"/>
        <v>0</v>
      </c>
      <c r="T37" s="98">
        <f t="shared" si="8"/>
        <v>0</v>
      </c>
      <c r="U37" s="99">
        <f t="shared" si="9"/>
        <v>0</v>
      </c>
      <c r="V37" s="93" t="str">
        <f t="shared" si="10"/>
        <v>SI</v>
      </c>
      <c r="W37" s="95">
        <f t="shared" si="11"/>
        <v>-983.45509155854404</v>
      </c>
      <c r="X37" s="95">
        <f t="shared" si="12"/>
        <v>0</v>
      </c>
      <c r="Y37" s="95">
        <f t="shared" si="13"/>
        <v>0</v>
      </c>
      <c r="Z37" s="95">
        <f t="shared" si="14"/>
        <v>983.45509155854404</v>
      </c>
      <c r="AA37" s="93" t="str">
        <f t="shared" si="15"/>
        <v/>
      </c>
      <c r="AB37" s="100"/>
      <c r="AC37" s="71"/>
      <c r="AD37" s="39"/>
    </row>
    <row r="38" spans="1:30" ht="18.75" x14ac:dyDescent="0.25">
      <c r="A38" s="39"/>
      <c r="B38" s="39"/>
      <c r="C38" s="93" t="s">
        <v>107</v>
      </c>
      <c r="D38" s="94">
        <f t="shared" si="16"/>
        <v>6.7500000000000004E-2</v>
      </c>
      <c r="E38" s="94">
        <f t="shared" si="17"/>
        <v>5.7443258426966251E-2</v>
      </c>
      <c r="F38" s="93" t="s">
        <v>107</v>
      </c>
      <c r="G38" s="95">
        <f t="shared" si="0"/>
        <v>-1738.1176470588143</v>
      </c>
      <c r="H38" s="71">
        <v>0</v>
      </c>
      <c r="I38" s="71">
        <v>0</v>
      </c>
      <c r="J38" s="71">
        <v>0</v>
      </c>
      <c r="K38" s="71">
        <v>0</v>
      </c>
      <c r="L38" s="96">
        <f t="shared" si="1"/>
        <v>491727.54577927204</v>
      </c>
      <c r="M38" s="96">
        <v>0</v>
      </c>
      <c r="N38" s="96">
        <f t="shared" si="2"/>
        <v>491727.54577927204</v>
      </c>
      <c r="O38" s="96">
        <f t="shared" si="3"/>
        <v>983455.09155854408</v>
      </c>
      <c r="P38" s="96">
        <f t="shared" si="4"/>
        <v>0</v>
      </c>
      <c r="Q38" s="97">
        <f t="shared" si="5"/>
        <v>-0.27969163735251007</v>
      </c>
      <c r="R38" s="97">
        <f t="shared" si="6"/>
        <v>0</v>
      </c>
      <c r="S38" s="71">
        <f t="shared" si="7"/>
        <v>0</v>
      </c>
      <c r="T38" s="98">
        <f t="shared" si="8"/>
        <v>0</v>
      </c>
      <c r="U38" s="99">
        <f t="shared" si="9"/>
        <v>0</v>
      </c>
      <c r="V38" s="93" t="str">
        <f t="shared" si="10"/>
        <v>SI</v>
      </c>
      <c r="W38" s="95">
        <f t="shared" si="11"/>
        <v>-983.45509155854404</v>
      </c>
      <c r="X38" s="95">
        <f t="shared" si="12"/>
        <v>0</v>
      </c>
      <c r="Y38" s="95">
        <f t="shared" si="13"/>
        <v>0</v>
      </c>
      <c r="Z38" s="95">
        <f t="shared" si="14"/>
        <v>983.45509155854404</v>
      </c>
      <c r="AA38" s="93" t="str">
        <f t="shared" si="15"/>
        <v/>
      </c>
      <c r="AB38" s="100"/>
      <c r="AC38" s="71"/>
      <c r="AD38" s="39"/>
    </row>
    <row r="39" spans="1:30" ht="18.75" x14ac:dyDescent="0.25">
      <c r="A39" s="39"/>
      <c r="B39" s="39"/>
      <c r="C39" s="93" t="s">
        <v>107</v>
      </c>
      <c r="D39" s="94">
        <f t="shared" si="16"/>
        <v>6.7500000000000004E-2</v>
      </c>
      <c r="E39" s="94">
        <f t="shared" si="17"/>
        <v>5.6851685393258383E-2</v>
      </c>
      <c r="F39" s="93" t="s">
        <v>107</v>
      </c>
      <c r="G39" s="95">
        <f t="shared" si="0"/>
        <v>-1621.7777777777692</v>
      </c>
      <c r="H39" s="71">
        <v>0</v>
      </c>
      <c r="I39" s="71">
        <v>0</v>
      </c>
      <c r="J39" s="71">
        <v>0</v>
      </c>
      <c r="K39" s="71">
        <v>0</v>
      </c>
      <c r="L39" s="96">
        <f t="shared" si="1"/>
        <v>491727.54577927204</v>
      </c>
      <c r="M39" s="96">
        <v>0</v>
      </c>
      <c r="N39" s="96">
        <f t="shared" si="2"/>
        <v>491727.54577927204</v>
      </c>
      <c r="O39" s="96">
        <f t="shared" si="3"/>
        <v>983455.09155854408</v>
      </c>
      <c r="P39" s="96">
        <f t="shared" si="4"/>
        <v>0</v>
      </c>
      <c r="Q39" s="97">
        <f t="shared" si="5"/>
        <v>-0.27969163735251007</v>
      </c>
      <c r="R39" s="97">
        <f t="shared" si="6"/>
        <v>0</v>
      </c>
      <c r="S39" s="71">
        <f t="shared" si="7"/>
        <v>0</v>
      </c>
      <c r="T39" s="98">
        <f t="shared" si="8"/>
        <v>0</v>
      </c>
      <c r="U39" s="99">
        <f t="shared" si="9"/>
        <v>0</v>
      </c>
      <c r="V39" s="93" t="str">
        <f t="shared" si="10"/>
        <v>SI</v>
      </c>
      <c r="W39" s="95">
        <f t="shared" si="11"/>
        <v>-983.45509155854404</v>
      </c>
      <c r="X39" s="95">
        <f t="shared" si="12"/>
        <v>0</v>
      </c>
      <c r="Y39" s="95">
        <f t="shared" si="13"/>
        <v>0</v>
      </c>
      <c r="Z39" s="95">
        <f t="shared" si="14"/>
        <v>983.45509155854404</v>
      </c>
      <c r="AA39" s="93" t="str">
        <f t="shared" si="15"/>
        <v/>
      </c>
      <c r="AB39" s="100"/>
      <c r="AC39" s="71"/>
      <c r="AD39" s="39"/>
    </row>
    <row r="40" spans="1:30" ht="18.75" x14ac:dyDescent="0.25">
      <c r="A40" s="39"/>
      <c r="B40" s="39"/>
      <c r="C40" s="93" t="s">
        <v>107</v>
      </c>
      <c r="D40" s="94">
        <f t="shared" si="16"/>
        <v>6.7500000000000004E-2</v>
      </c>
      <c r="E40" s="94">
        <f t="shared" si="17"/>
        <v>5.6260112359550515E-2</v>
      </c>
      <c r="F40" s="93" t="s">
        <v>107</v>
      </c>
      <c r="G40" s="95">
        <f t="shared" si="0"/>
        <v>-1517.6842105263074</v>
      </c>
      <c r="H40" s="71">
        <v>0</v>
      </c>
      <c r="I40" s="71">
        <v>0</v>
      </c>
      <c r="J40" s="71">
        <v>0</v>
      </c>
      <c r="K40" s="71">
        <v>0</v>
      </c>
      <c r="L40" s="96">
        <f t="shared" si="1"/>
        <v>491727.54577927204</v>
      </c>
      <c r="M40" s="96">
        <v>0</v>
      </c>
      <c r="N40" s="96">
        <f t="shared" si="2"/>
        <v>491727.54577927204</v>
      </c>
      <c r="O40" s="96">
        <f t="shared" si="3"/>
        <v>983455.09155854408</v>
      </c>
      <c r="P40" s="96">
        <f t="shared" si="4"/>
        <v>0</v>
      </c>
      <c r="Q40" s="97">
        <f t="shared" si="5"/>
        <v>-0.27969163735251007</v>
      </c>
      <c r="R40" s="97">
        <f t="shared" si="6"/>
        <v>0</v>
      </c>
      <c r="S40" s="71">
        <f t="shared" si="7"/>
        <v>0</v>
      </c>
      <c r="T40" s="98">
        <f t="shared" si="8"/>
        <v>0</v>
      </c>
      <c r="U40" s="99">
        <f t="shared" si="9"/>
        <v>0</v>
      </c>
      <c r="V40" s="93" t="str">
        <f t="shared" si="10"/>
        <v>SI</v>
      </c>
      <c r="W40" s="95">
        <f t="shared" si="11"/>
        <v>-983.45509155854404</v>
      </c>
      <c r="X40" s="95">
        <f t="shared" si="12"/>
        <v>0</v>
      </c>
      <c r="Y40" s="95">
        <f t="shared" si="13"/>
        <v>0</v>
      </c>
      <c r="Z40" s="95">
        <f t="shared" si="14"/>
        <v>983.45509155854404</v>
      </c>
      <c r="AA40" s="93" t="str">
        <f t="shared" si="15"/>
        <v/>
      </c>
      <c r="AB40" s="100"/>
      <c r="AC40" s="71"/>
      <c r="AD40" s="39"/>
    </row>
    <row r="41" spans="1:30" ht="18.75" x14ac:dyDescent="0.25">
      <c r="A41" s="39"/>
      <c r="B41" s="39"/>
      <c r="C41" s="93" t="s">
        <v>107</v>
      </c>
      <c r="D41" s="94">
        <f t="shared" si="16"/>
        <v>6.7500000000000004E-2</v>
      </c>
      <c r="E41" s="94">
        <f t="shared" si="17"/>
        <v>5.5668539325842648E-2</v>
      </c>
      <c r="F41" s="93" t="s">
        <v>107</v>
      </c>
      <c r="G41" s="95">
        <f t="shared" si="0"/>
        <v>-1423.9999999999923</v>
      </c>
      <c r="H41" s="71">
        <v>0</v>
      </c>
      <c r="I41" s="71">
        <v>0</v>
      </c>
      <c r="J41" s="71">
        <v>0</v>
      </c>
      <c r="K41" s="71">
        <v>0</v>
      </c>
      <c r="L41" s="96">
        <f t="shared" si="1"/>
        <v>491727.54577927204</v>
      </c>
      <c r="M41" s="96">
        <v>0</v>
      </c>
      <c r="N41" s="96">
        <f t="shared" si="2"/>
        <v>491727.54577927204</v>
      </c>
      <c r="O41" s="96">
        <f t="shared" si="3"/>
        <v>983455.09155854408</v>
      </c>
      <c r="P41" s="96">
        <f t="shared" si="4"/>
        <v>0</v>
      </c>
      <c r="Q41" s="97">
        <f t="shared" si="5"/>
        <v>-0.27969163735251007</v>
      </c>
      <c r="R41" s="97">
        <f t="shared" si="6"/>
        <v>0</v>
      </c>
      <c r="S41" s="71">
        <f t="shared" si="7"/>
        <v>0</v>
      </c>
      <c r="T41" s="98">
        <f t="shared" si="8"/>
        <v>0</v>
      </c>
      <c r="U41" s="99">
        <f t="shared" si="9"/>
        <v>0</v>
      </c>
      <c r="V41" s="93" t="str">
        <f t="shared" si="10"/>
        <v>SI</v>
      </c>
      <c r="W41" s="95">
        <f t="shared" si="11"/>
        <v>-983.45509155854404</v>
      </c>
      <c r="X41" s="95">
        <f t="shared" si="12"/>
        <v>0</v>
      </c>
      <c r="Y41" s="95">
        <f t="shared" si="13"/>
        <v>0</v>
      </c>
      <c r="Z41" s="95">
        <f t="shared" si="14"/>
        <v>983.45509155854404</v>
      </c>
      <c r="AA41" s="93" t="str">
        <f t="shared" si="15"/>
        <v/>
      </c>
      <c r="AB41" s="100"/>
      <c r="AC41" s="71"/>
      <c r="AD41" s="39"/>
    </row>
    <row r="42" spans="1:30" ht="18.75" x14ac:dyDescent="0.25">
      <c r="A42" s="39"/>
      <c r="B42" s="39"/>
      <c r="C42" s="93" t="s">
        <v>107</v>
      </c>
      <c r="D42" s="94">
        <f t="shared" si="16"/>
        <v>6.7500000000000004E-2</v>
      </c>
      <c r="E42" s="94">
        <f t="shared" si="17"/>
        <v>5.507696629213478E-2</v>
      </c>
      <c r="F42" s="93" t="s">
        <v>107</v>
      </c>
      <c r="G42" s="95">
        <f t="shared" si="0"/>
        <v>-1339.2380952380877</v>
      </c>
      <c r="H42" s="71">
        <v>0</v>
      </c>
      <c r="I42" s="71">
        <v>0</v>
      </c>
      <c r="J42" s="71">
        <v>0</v>
      </c>
      <c r="K42" s="71">
        <v>0</v>
      </c>
      <c r="L42" s="96">
        <f t="shared" si="1"/>
        <v>491727.54577927204</v>
      </c>
      <c r="M42" s="96">
        <v>0</v>
      </c>
      <c r="N42" s="96">
        <f t="shared" si="2"/>
        <v>491727.54577927204</v>
      </c>
      <c r="O42" s="96">
        <f t="shared" si="3"/>
        <v>983455.09155854408</v>
      </c>
      <c r="P42" s="96">
        <f t="shared" si="4"/>
        <v>0</v>
      </c>
      <c r="Q42" s="97">
        <f t="shared" si="5"/>
        <v>-0.27969163735251007</v>
      </c>
      <c r="R42" s="97">
        <f t="shared" si="6"/>
        <v>0</v>
      </c>
      <c r="S42" s="71">
        <f t="shared" si="7"/>
        <v>0</v>
      </c>
      <c r="T42" s="98">
        <f t="shared" si="8"/>
        <v>0</v>
      </c>
      <c r="U42" s="99">
        <f t="shared" si="9"/>
        <v>0</v>
      </c>
      <c r="V42" s="93" t="str">
        <f t="shared" si="10"/>
        <v>SI</v>
      </c>
      <c r="W42" s="95">
        <f t="shared" si="11"/>
        <v>-983.45509155854404</v>
      </c>
      <c r="X42" s="95">
        <f t="shared" si="12"/>
        <v>0</v>
      </c>
      <c r="Y42" s="95">
        <f t="shared" si="13"/>
        <v>0</v>
      </c>
      <c r="Z42" s="95">
        <f t="shared" si="14"/>
        <v>983.45509155854404</v>
      </c>
      <c r="AA42" s="93" t="str">
        <f t="shared" si="15"/>
        <v/>
      </c>
      <c r="AB42" s="100"/>
      <c r="AC42" s="71"/>
      <c r="AD42" s="39"/>
    </row>
    <row r="43" spans="1:30" ht="18.75" x14ac:dyDescent="0.25">
      <c r="A43" s="39"/>
      <c r="B43" s="39"/>
      <c r="C43" s="93" t="s">
        <v>107</v>
      </c>
      <c r="D43" s="94">
        <f t="shared" si="16"/>
        <v>6.7500000000000004E-2</v>
      </c>
      <c r="E43" s="94">
        <f t="shared" si="17"/>
        <v>5.4485393258426912E-2</v>
      </c>
      <c r="F43" s="93" t="s">
        <v>107</v>
      </c>
      <c r="G43" s="95">
        <f t="shared" si="0"/>
        <v>-1262.1818181818112</v>
      </c>
      <c r="H43" s="71">
        <v>0</v>
      </c>
      <c r="I43" s="71">
        <v>0</v>
      </c>
      <c r="J43" s="71">
        <v>0</v>
      </c>
      <c r="K43" s="71">
        <v>0</v>
      </c>
      <c r="L43" s="96">
        <f t="shared" si="1"/>
        <v>491727.54577927204</v>
      </c>
      <c r="M43" s="96">
        <v>0</v>
      </c>
      <c r="N43" s="96">
        <f t="shared" si="2"/>
        <v>491727.54577927204</v>
      </c>
      <c r="O43" s="96">
        <f t="shared" si="3"/>
        <v>983455.09155854408</v>
      </c>
      <c r="P43" s="96">
        <f t="shared" si="4"/>
        <v>0</v>
      </c>
      <c r="Q43" s="97">
        <f t="shared" si="5"/>
        <v>-0.27969163735251007</v>
      </c>
      <c r="R43" s="97">
        <f t="shared" si="6"/>
        <v>0</v>
      </c>
      <c r="S43" s="71">
        <f t="shared" si="7"/>
        <v>0</v>
      </c>
      <c r="T43" s="98">
        <f t="shared" si="8"/>
        <v>0</v>
      </c>
      <c r="U43" s="99">
        <f t="shared" si="9"/>
        <v>0</v>
      </c>
      <c r="V43" s="93" t="str">
        <f t="shared" si="10"/>
        <v>SI</v>
      </c>
      <c r="W43" s="95">
        <f t="shared" si="11"/>
        <v>-983.45509155854404</v>
      </c>
      <c r="X43" s="95">
        <f t="shared" si="12"/>
        <v>0</v>
      </c>
      <c r="Y43" s="95">
        <f t="shared" si="13"/>
        <v>0</v>
      </c>
      <c r="Z43" s="95">
        <f t="shared" si="14"/>
        <v>983.45509155854404</v>
      </c>
      <c r="AA43" s="93" t="str">
        <f t="shared" si="15"/>
        <v/>
      </c>
      <c r="AB43" s="100"/>
      <c r="AC43" s="71"/>
      <c r="AD43" s="39"/>
    </row>
    <row r="44" spans="1:30" ht="18.75" x14ac:dyDescent="0.25">
      <c r="A44" s="39"/>
      <c r="B44" s="39"/>
      <c r="C44" s="93" t="s">
        <v>107</v>
      </c>
      <c r="D44" s="94">
        <f t="shared" si="16"/>
        <v>6.7500000000000004E-2</v>
      </c>
      <c r="E44" s="94">
        <f t="shared" si="17"/>
        <v>5.3893820224719044E-2</v>
      </c>
      <c r="F44" s="93" t="s">
        <v>107</v>
      </c>
      <c r="G44" s="95">
        <f t="shared" si="0"/>
        <v>-1191.8260869565149</v>
      </c>
      <c r="H44" s="71">
        <v>0</v>
      </c>
      <c r="I44" s="71">
        <v>0</v>
      </c>
      <c r="J44" s="71">
        <v>0</v>
      </c>
      <c r="K44" s="71">
        <v>0</v>
      </c>
      <c r="L44" s="96">
        <f t="shared" si="1"/>
        <v>491727.54577927204</v>
      </c>
      <c r="M44" s="96">
        <v>0</v>
      </c>
      <c r="N44" s="96">
        <f t="shared" si="2"/>
        <v>491727.54577927204</v>
      </c>
      <c r="O44" s="96">
        <f t="shared" si="3"/>
        <v>983455.09155854408</v>
      </c>
      <c r="P44" s="96">
        <f t="shared" si="4"/>
        <v>0</v>
      </c>
      <c r="Q44" s="97">
        <f t="shared" si="5"/>
        <v>-0.27969163735251007</v>
      </c>
      <c r="R44" s="97">
        <f t="shared" si="6"/>
        <v>0</v>
      </c>
      <c r="S44" s="71">
        <f t="shared" si="7"/>
        <v>0</v>
      </c>
      <c r="T44" s="98">
        <f t="shared" si="8"/>
        <v>0</v>
      </c>
      <c r="U44" s="99">
        <f t="shared" si="9"/>
        <v>0</v>
      </c>
      <c r="V44" s="93" t="str">
        <f t="shared" si="10"/>
        <v>SI</v>
      </c>
      <c r="W44" s="95">
        <f t="shared" si="11"/>
        <v>-983.45509155854404</v>
      </c>
      <c r="X44" s="95">
        <f t="shared" si="12"/>
        <v>0</v>
      </c>
      <c r="Y44" s="95">
        <f t="shared" si="13"/>
        <v>0</v>
      </c>
      <c r="Z44" s="95">
        <f t="shared" si="14"/>
        <v>983.45509155854404</v>
      </c>
      <c r="AA44" s="93" t="str">
        <f t="shared" si="15"/>
        <v/>
      </c>
      <c r="AB44" s="100"/>
      <c r="AC44" s="71"/>
      <c r="AD44" s="39"/>
    </row>
    <row r="45" spans="1:30" ht="18.75" x14ac:dyDescent="0.25">
      <c r="A45" s="39"/>
      <c r="B45" s="39"/>
      <c r="C45" s="93" t="s">
        <v>107</v>
      </c>
      <c r="D45" s="94">
        <f t="shared" si="16"/>
        <v>6.7500000000000004E-2</v>
      </c>
      <c r="E45" s="94">
        <f t="shared" si="17"/>
        <v>5.3302247191011176E-2</v>
      </c>
      <c r="F45" s="93" t="s">
        <v>107</v>
      </c>
      <c r="G45" s="95">
        <f t="shared" si="0"/>
        <v>-1127.3333333333269</v>
      </c>
      <c r="H45" s="71">
        <v>0</v>
      </c>
      <c r="I45" s="71">
        <v>0</v>
      </c>
      <c r="J45" s="71">
        <v>0</v>
      </c>
      <c r="K45" s="71">
        <v>0</v>
      </c>
      <c r="L45" s="96">
        <f t="shared" si="1"/>
        <v>491727.54577927204</v>
      </c>
      <c r="M45" s="96">
        <v>0</v>
      </c>
      <c r="N45" s="96">
        <f t="shared" si="2"/>
        <v>491727.54577927204</v>
      </c>
      <c r="O45" s="96">
        <f t="shared" si="3"/>
        <v>983455.09155854408</v>
      </c>
      <c r="P45" s="96">
        <f t="shared" si="4"/>
        <v>0</v>
      </c>
      <c r="Q45" s="97">
        <f t="shared" si="5"/>
        <v>-0.27969163735251007</v>
      </c>
      <c r="R45" s="97">
        <f t="shared" si="6"/>
        <v>0</v>
      </c>
      <c r="S45" s="71">
        <f t="shared" si="7"/>
        <v>0</v>
      </c>
      <c r="T45" s="98">
        <f t="shared" si="8"/>
        <v>0</v>
      </c>
      <c r="U45" s="99">
        <f t="shared" si="9"/>
        <v>0</v>
      </c>
      <c r="V45" s="93" t="str">
        <f t="shared" si="10"/>
        <v>SI</v>
      </c>
      <c r="W45" s="95">
        <f t="shared" si="11"/>
        <v>-983.45509155854404</v>
      </c>
      <c r="X45" s="95">
        <f t="shared" si="12"/>
        <v>0</v>
      </c>
      <c r="Y45" s="95">
        <f t="shared" si="13"/>
        <v>0</v>
      </c>
      <c r="Z45" s="95">
        <f t="shared" si="14"/>
        <v>983.45509155854404</v>
      </c>
      <c r="AA45" s="93" t="str">
        <f t="shared" si="15"/>
        <v/>
      </c>
      <c r="AB45" s="100"/>
      <c r="AC45" s="71"/>
      <c r="AD45" s="39"/>
    </row>
    <row r="46" spans="1:30" ht="18.75" x14ac:dyDescent="0.25">
      <c r="A46" s="39"/>
      <c r="B46" s="39"/>
      <c r="C46" s="93" t="s">
        <v>107</v>
      </c>
      <c r="D46" s="94">
        <f t="shared" si="16"/>
        <v>6.7500000000000004E-2</v>
      </c>
      <c r="E46" s="94">
        <f t="shared" si="17"/>
        <v>5.2710674157303308E-2</v>
      </c>
      <c r="F46" s="93" t="s">
        <v>107</v>
      </c>
      <c r="G46" s="95">
        <f t="shared" si="0"/>
        <v>-1067.9999999999936</v>
      </c>
      <c r="H46" s="71">
        <v>0</v>
      </c>
      <c r="I46" s="71">
        <v>0</v>
      </c>
      <c r="J46" s="71">
        <v>0</v>
      </c>
      <c r="K46" s="71">
        <v>0</v>
      </c>
      <c r="L46" s="96">
        <f t="shared" si="1"/>
        <v>491727.54577927204</v>
      </c>
      <c r="M46" s="96">
        <v>0</v>
      </c>
      <c r="N46" s="96">
        <f t="shared" si="2"/>
        <v>491727.54577927204</v>
      </c>
      <c r="O46" s="96">
        <f t="shared" si="3"/>
        <v>983455.09155854408</v>
      </c>
      <c r="P46" s="96">
        <f t="shared" si="4"/>
        <v>0</v>
      </c>
      <c r="Q46" s="97">
        <f t="shared" si="5"/>
        <v>-0.27969163735251007</v>
      </c>
      <c r="R46" s="97">
        <f t="shared" si="6"/>
        <v>0</v>
      </c>
      <c r="S46" s="71">
        <f t="shared" si="7"/>
        <v>0</v>
      </c>
      <c r="T46" s="98">
        <f t="shared" si="8"/>
        <v>0</v>
      </c>
      <c r="U46" s="99">
        <f t="shared" si="9"/>
        <v>0</v>
      </c>
      <c r="V46" s="93" t="str">
        <f t="shared" si="10"/>
        <v>SI</v>
      </c>
      <c r="W46" s="95">
        <f t="shared" si="11"/>
        <v>-983.45509155854404</v>
      </c>
      <c r="X46" s="95">
        <f t="shared" si="12"/>
        <v>0</v>
      </c>
      <c r="Y46" s="95">
        <f t="shared" si="13"/>
        <v>0</v>
      </c>
      <c r="Z46" s="95">
        <f t="shared" si="14"/>
        <v>983.45509155854404</v>
      </c>
      <c r="AA46" s="93" t="str">
        <f t="shared" si="15"/>
        <v/>
      </c>
      <c r="AB46" s="100"/>
      <c r="AC46" s="71"/>
      <c r="AD46" s="39"/>
    </row>
    <row r="47" spans="1:30" ht="18.75" x14ac:dyDescent="0.25">
      <c r="A47" s="39"/>
      <c r="B47" s="39"/>
      <c r="C47" s="93" t="s">
        <v>107</v>
      </c>
      <c r="D47" s="94">
        <f t="shared" si="16"/>
        <v>6.7500000000000004E-2</v>
      </c>
      <c r="E47" s="94">
        <f t="shared" si="17"/>
        <v>5.211910112359544E-2</v>
      </c>
      <c r="F47" s="93" t="s">
        <v>107</v>
      </c>
      <c r="G47" s="95">
        <f t="shared" si="0"/>
        <v>-1013.230769230763</v>
      </c>
      <c r="H47" s="71">
        <v>0</v>
      </c>
      <c r="I47" s="71">
        <v>0</v>
      </c>
      <c r="J47" s="71">
        <v>0</v>
      </c>
      <c r="K47" s="71">
        <v>0</v>
      </c>
      <c r="L47" s="96">
        <f t="shared" si="1"/>
        <v>491727.54577927204</v>
      </c>
      <c r="M47" s="96">
        <v>0</v>
      </c>
      <c r="N47" s="96">
        <f t="shared" si="2"/>
        <v>491727.54577927204</v>
      </c>
      <c r="O47" s="96">
        <f t="shared" si="3"/>
        <v>983455.09155854408</v>
      </c>
      <c r="P47" s="96">
        <f t="shared" si="4"/>
        <v>0</v>
      </c>
      <c r="Q47" s="97">
        <f t="shared" si="5"/>
        <v>-0.27969163735251007</v>
      </c>
      <c r="R47" s="97">
        <f t="shared" si="6"/>
        <v>0</v>
      </c>
      <c r="S47" s="71">
        <f t="shared" si="7"/>
        <v>0</v>
      </c>
      <c r="T47" s="98">
        <f t="shared" si="8"/>
        <v>0</v>
      </c>
      <c r="U47" s="99">
        <f t="shared" si="9"/>
        <v>0</v>
      </c>
      <c r="V47" s="93" t="str">
        <f t="shared" si="10"/>
        <v>SI</v>
      </c>
      <c r="W47" s="95">
        <f t="shared" si="11"/>
        <v>-983.45509155854404</v>
      </c>
      <c r="X47" s="95">
        <f t="shared" si="12"/>
        <v>0</v>
      </c>
      <c r="Y47" s="95">
        <f t="shared" si="13"/>
        <v>0</v>
      </c>
      <c r="Z47" s="95">
        <f t="shared" si="14"/>
        <v>983.45509155854404</v>
      </c>
      <c r="AA47" s="93" t="str">
        <f t="shared" si="15"/>
        <v/>
      </c>
      <c r="AB47" s="100"/>
      <c r="AC47" s="71"/>
      <c r="AD47" s="39"/>
    </row>
    <row r="48" spans="1:30" ht="18.75" x14ac:dyDescent="0.25">
      <c r="A48" s="39"/>
      <c r="B48" s="39"/>
      <c r="C48" s="93" t="s">
        <v>107</v>
      </c>
      <c r="D48" s="94">
        <f t="shared" si="16"/>
        <v>6.7500000000000004E-2</v>
      </c>
      <c r="E48" s="94">
        <f t="shared" si="17"/>
        <v>5.1527528089887573E-2</v>
      </c>
      <c r="F48" s="93" t="s">
        <v>107</v>
      </c>
      <c r="G48" s="95">
        <f t="shared" si="0"/>
        <v>-962.51851851851268</v>
      </c>
      <c r="H48" s="71">
        <v>0</v>
      </c>
      <c r="I48" s="71">
        <v>0</v>
      </c>
      <c r="J48" s="71">
        <v>0</v>
      </c>
      <c r="K48" s="71">
        <v>0</v>
      </c>
      <c r="L48" s="96">
        <f t="shared" si="1"/>
        <v>491727.54577927204</v>
      </c>
      <c r="M48" s="96">
        <v>0</v>
      </c>
      <c r="N48" s="96">
        <f t="shared" si="2"/>
        <v>491727.54577927204</v>
      </c>
      <c r="O48" s="96">
        <f t="shared" si="3"/>
        <v>983455.09155854408</v>
      </c>
      <c r="P48" s="96">
        <f t="shared" si="4"/>
        <v>0</v>
      </c>
      <c r="Q48" s="97">
        <f t="shared" si="5"/>
        <v>-0.27969163735251007</v>
      </c>
      <c r="R48" s="97">
        <f t="shared" si="6"/>
        <v>0</v>
      </c>
      <c r="S48" s="71">
        <f t="shared" si="7"/>
        <v>0</v>
      </c>
      <c r="T48" s="98">
        <f t="shared" si="8"/>
        <v>0</v>
      </c>
      <c r="U48" s="99">
        <f t="shared" si="9"/>
        <v>0</v>
      </c>
      <c r="V48" s="93" t="str">
        <f t="shared" si="10"/>
        <v>SI</v>
      </c>
      <c r="W48" s="95">
        <f t="shared" si="11"/>
        <v>-983.45509155854404</v>
      </c>
      <c r="X48" s="95">
        <f t="shared" si="12"/>
        <v>0</v>
      </c>
      <c r="Y48" s="95">
        <f t="shared" si="13"/>
        <v>0</v>
      </c>
      <c r="Z48" s="95">
        <f t="shared" si="14"/>
        <v>983.45509155854404</v>
      </c>
      <c r="AA48" s="93" t="str">
        <f t="shared" si="15"/>
        <v/>
      </c>
      <c r="AB48" s="100"/>
      <c r="AC48" s="71"/>
      <c r="AD48" s="39"/>
    </row>
    <row r="49" spans="1:30" ht="18.75" x14ac:dyDescent="0.25">
      <c r="A49" s="39"/>
      <c r="B49" s="39"/>
      <c r="C49" s="93" t="s">
        <v>107</v>
      </c>
      <c r="D49" s="94">
        <f t="shared" si="16"/>
        <v>6.7500000000000004E-2</v>
      </c>
      <c r="E49" s="94">
        <f t="shared" si="17"/>
        <v>5.0935955056179705E-2</v>
      </c>
      <c r="F49" s="93" t="s">
        <v>107</v>
      </c>
      <c r="G49" s="95">
        <f t="shared" si="0"/>
        <v>-915.42857142856565</v>
      </c>
      <c r="H49" s="71">
        <v>0</v>
      </c>
      <c r="I49" s="71">
        <v>0</v>
      </c>
      <c r="J49" s="71">
        <v>0</v>
      </c>
      <c r="K49" s="71">
        <v>0</v>
      </c>
      <c r="L49" s="96">
        <f t="shared" si="1"/>
        <v>491727.54577927204</v>
      </c>
      <c r="M49" s="96">
        <v>0</v>
      </c>
      <c r="N49" s="96">
        <f t="shared" si="2"/>
        <v>491727.54577927204</v>
      </c>
      <c r="O49" s="96">
        <f t="shared" si="3"/>
        <v>983455.09155854408</v>
      </c>
      <c r="P49" s="96">
        <f t="shared" si="4"/>
        <v>0</v>
      </c>
      <c r="Q49" s="97">
        <f t="shared" si="5"/>
        <v>-0.27969163735251007</v>
      </c>
      <c r="R49" s="97">
        <f t="shared" si="6"/>
        <v>0</v>
      </c>
      <c r="S49" s="71">
        <f t="shared" si="7"/>
        <v>0</v>
      </c>
      <c r="T49" s="98">
        <f t="shared" si="8"/>
        <v>0</v>
      </c>
      <c r="U49" s="99">
        <f t="shared" si="9"/>
        <v>0</v>
      </c>
      <c r="V49" s="93" t="str">
        <f t="shared" si="10"/>
        <v>SI</v>
      </c>
      <c r="W49" s="95">
        <f t="shared" si="11"/>
        <v>-983.45509155854404</v>
      </c>
      <c r="X49" s="95">
        <f t="shared" si="12"/>
        <v>0</v>
      </c>
      <c r="Y49" s="95">
        <f t="shared" si="13"/>
        <v>0</v>
      </c>
      <c r="Z49" s="95">
        <f t="shared" si="14"/>
        <v>983.45509155854404</v>
      </c>
      <c r="AA49" s="93" t="str">
        <f t="shared" si="15"/>
        <v/>
      </c>
      <c r="AB49" s="100"/>
      <c r="AC49" s="71"/>
      <c r="AD49" s="39"/>
    </row>
    <row r="50" spans="1:30" ht="18.75" x14ac:dyDescent="0.25">
      <c r="A50" s="39"/>
      <c r="B50" s="39"/>
      <c r="C50" s="93" t="s">
        <v>107</v>
      </c>
      <c r="D50" s="94">
        <f t="shared" si="16"/>
        <v>6.7500000000000004E-2</v>
      </c>
      <c r="E50" s="94">
        <f t="shared" si="17"/>
        <v>5.0344382022471837E-2</v>
      </c>
      <c r="F50" s="93" t="s">
        <v>107</v>
      </c>
      <c r="G50" s="95">
        <f t="shared" si="0"/>
        <v>-871.58620689654629</v>
      </c>
      <c r="H50" s="71">
        <v>0</v>
      </c>
      <c r="I50" s="71">
        <v>0</v>
      </c>
      <c r="J50" s="71">
        <v>0</v>
      </c>
      <c r="K50" s="71">
        <v>0</v>
      </c>
      <c r="L50" s="96">
        <f t="shared" si="1"/>
        <v>491727.54577927204</v>
      </c>
      <c r="M50" s="96">
        <v>0</v>
      </c>
      <c r="N50" s="96">
        <f t="shared" si="2"/>
        <v>491727.54577927204</v>
      </c>
      <c r="O50" s="96">
        <f t="shared" si="3"/>
        <v>983455.09155854408</v>
      </c>
      <c r="P50" s="96">
        <f t="shared" si="4"/>
        <v>0</v>
      </c>
      <c r="Q50" s="97">
        <f t="shared" si="5"/>
        <v>-0.27969163735251007</v>
      </c>
      <c r="R50" s="97">
        <f t="shared" si="6"/>
        <v>0</v>
      </c>
      <c r="S50" s="71">
        <f t="shared" si="7"/>
        <v>0</v>
      </c>
      <c r="T50" s="98">
        <f t="shared" si="8"/>
        <v>0</v>
      </c>
      <c r="U50" s="99">
        <f t="shared" si="9"/>
        <v>0</v>
      </c>
      <c r="V50" s="93" t="str">
        <f t="shared" si="10"/>
        <v>SI</v>
      </c>
      <c r="W50" s="95">
        <f t="shared" si="11"/>
        <v>-983.45509155854404</v>
      </c>
      <c r="X50" s="95">
        <f t="shared" si="12"/>
        <v>0</v>
      </c>
      <c r="Y50" s="95">
        <f t="shared" si="13"/>
        <v>0</v>
      </c>
      <c r="Z50" s="95">
        <f t="shared" si="14"/>
        <v>983.45509155854404</v>
      </c>
      <c r="AA50" s="93" t="str">
        <f t="shared" si="15"/>
        <v/>
      </c>
      <c r="AB50" s="100"/>
      <c r="AC50" s="71"/>
      <c r="AD50" s="39"/>
    </row>
    <row r="51" spans="1:30" ht="18.75" x14ac:dyDescent="0.25">
      <c r="A51" s="39"/>
      <c r="B51" s="39"/>
      <c r="C51" s="93" t="s">
        <v>107</v>
      </c>
      <c r="D51" s="94">
        <f t="shared" si="16"/>
        <v>6.7500000000000004E-2</v>
      </c>
      <c r="E51" s="94">
        <f t="shared" si="17"/>
        <v>4.9752808988763969E-2</v>
      </c>
      <c r="F51" s="93" t="s">
        <v>107</v>
      </c>
      <c r="G51" s="95">
        <f t="shared" si="0"/>
        <v>-830.66666666666129</v>
      </c>
      <c r="H51" s="71">
        <v>0</v>
      </c>
      <c r="I51" s="71">
        <v>0</v>
      </c>
      <c r="J51" s="71">
        <v>0</v>
      </c>
      <c r="K51" s="71">
        <v>0</v>
      </c>
      <c r="L51" s="96">
        <f t="shared" si="1"/>
        <v>491727.54577927204</v>
      </c>
      <c r="M51" s="96">
        <v>0</v>
      </c>
      <c r="N51" s="96">
        <f t="shared" si="2"/>
        <v>491727.54577927204</v>
      </c>
      <c r="O51" s="96">
        <f t="shared" si="3"/>
        <v>983455.09155854408</v>
      </c>
      <c r="P51" s="96">
        <f t="shared" si="4"/>
        <v>0</v>
      </c>
      <c r="Q51" s="97">
        <f t="shared" si="5"/>
        <v>-0.27969163735251007</v>
      </c>
      <c r="R51" s="97">
        <f t="shared" si="6"/>
        <v>0</v>
      </c>
      <c r="S51" s="71">
        <f t="shared" si="7"/>
        <v>0</v>
      </c>
      <c r="T51" s="98">
        <f t="shared" si="8"/>
        <v>0</v>
      </c>
      <c r="U51" s="99">
        <f t="shared" si="9"/>
        <v>0</v>
      </c>
      <c r="V51" s="93" t="str">
        <f t="shared" si="10"/>
        <v>SI</v>
      </c>
      <c r="W51" s="95">
        <f t="shared" si="11"/>
        <v>-983.45509155854404</v>
      </c>
      <c r="X51" s="95">
        <f t="shared" si="12"/>
        <v>0</v>
      </c>
      <c r="Y51" s="95">
        <f t="shared" si="13"/>
        <v>0</v>
      </c>
      <c r="Z51" s="95">
        <f t="shared" si="14"/>
        <v>983.45509155854404</v>
      </c>
      <c r="AA51" s="93" t="str">
        <f t="shared" si="15"/>
        <v/>
      </c>
      <c r="AB51" s="100"/>
      <c r="AC51" s="71"/>
      <c r="AD51" s="39"/>
    </row>
    <row r="52" spans="1:30" ht="18.75" x14ac:dyDescent="0.25">
      <c r="A52" s="39"/>
      <c r="B52" s="39"/>
      <c r="C52" s="93" t="s">
        <v>107</v>
      </c>
      <c r="D52" s="94">
        <f t="shared" si="16"/>
        <v>6.7500000000000004E-2</v>
      </c>
      <c r="E52" s="94">
        <f t="shared" si="17"/>
        <v>4.9161235955056101E-2</v>
      </c>
      <c r="F52" s="93" t="s">
        <v>107</v>
      </c>
      <c r="G52" s="95">
        <f t="shared" si="0"/>
        <v>-792.38709677418842</v>
      </c>
      <c r="H52" s="71">
        <v>0</v>
      </c>
      <c r="I52" s="71">
        <v>0</v>
      </c>
      <c r="J52" s="71">
        <v>0</v>
      </c>
      <c r="K52" s="71">
        <v>0</v>
      </c>
      <c r="L52" s="96">
        <f t="shared" si="1"/>
        <v>491727.54577927204</v>
      </c>
      <c r="M52" s="96">
        <v>0</v>
      </c>
      <c r="N52" s="96">
        <f t="shared" si="2"/>
        <v>491727.54577927204</v>
      </c>
      <c r="O52" s="96">
        <f t="shared" si="3"/>
        <v>983455.09155854408</v>
      </c>
      <c r="P52" s="96">
        <f t="shared" si="4"/>
        <v>0</v>
      </c>
      <c r="Q52" s="97">
        <f t="shared" si="5"/>
        <v>-0.27969163735251007</v>
      </c>
      <c r="R52" s="97">
        <f t="shared" si="6"/>
        <v>0</v>
      </c>
      <c r="S52" s="71">
        <f t="shared" si="7"/>
        <v>0</v>
      </c>
      <c r="T52" s="98">
        <f t="shared" si="8"/>
        <v>0</v>
      </c>
      <c r="U52" s="99">
        <f t="shared" si="9"/>
        <v>0</v>
      </c>
      <c r="V52" s="93" t="str">
        <f t="shared" si="10"/>
        <v>SI</v>
      </c>
      <c r="W52" s="95">
        <f t="shared" si="11"/>
        <v>-983.45509155854404</v>
      </c>
      <c r="X52" s="95">
        <f t="shared" si="12"/>
        <v>0</v>
      </c>
      <c r="Y52" s="95">
        <f t="shared" si="13"/>
        <v>0</v>
      </c>
      <c r="Z52" s="95">
        <f t="shared" si="14"/>
        <v>983.45509155854404</v>
      </c>
      <c r="AA52" s="93" t="str">
        <f t="shared" si="15"/>
        <v/>
      </c>
      <c r="AB52" s="100"/>
      <c r="AC52" s="71"/>
      <c r="AD52" s="39"/>
    </row>
    <row r="53" spans="1:30" ht="18.75" x14ac:dyDescent="0.25">
      <c r="A53" s="39"/>
      <c r="B53" s="39"/>
      <c r="C53" s="93" t="s">
        <v>107</v>
      </c>
      <c r="D53" s="94">
        <f t="shared" si="16"/>
        <v>6.7500000000000004E-2</v>
      </c>
      <c r="E53" s="94">
        <f t="shared" si="17"/>
        <v>4.8569662921348233E-2</v>
      </c>
      <c r="F53" s="93" t="s">
        <v>107</v>
      </c>
      <c r="G53" s="95">
        <f t="shared" ref="G53:G84" si="18">(E53*$C$13-D53*$C$10)/(E53-D53)</f>
        <v>-756.49999999999511</v>
      </c>
      <c r="H53" s="71">
        <v>0</v>
      </c>
      <c r="I53" s="71">
        <v>0</v>
      </c>
      <c r="J53" s="71">
        <v>0</v>
      </c>
      <c r="K53" s="71">
        <v>0</v>
      </c>
      <c r="L53" s="96">
        <f t="shared" si="1"/>
        <v>491727.54577927204</v>
      </c>
      <c r="M53" s="96">
        <v>0</v>
      </c>
      <c r="N53" s="96">
        <f t="shared" si="2"/>
        <v>491727.54577927204</v>
      </c>
      <c r="O53" s="96">
        <f t="shared" si="3"/>
        <v>983455.09155854408</v>
      </c>
      <c r="P53" s="96">
        <f t="shared" ref="P53:P84" si="19">-L53*($C$13/2)+N53*($C$13/2)</f>
        <v>0</v>
      </c>
      <c r="Q53" s="97">
        <f t="shared" si="5"/>
        <v>-0.27969163735251007</v>
      </c>
      <c r="R53" s="97">
        <f t="shared" si="6"/>
        <v>0</v>
      </c>
      <c r="S53" s="71">
        <f t="shared" si="7"/>
        <v>0</v>
      </c>
      <c r="T53" s="98">
        <f t="shared" si="8"/>
        <v>0</v>
      </c>
      <c r="U53" s="99">
        <f t="shared" si="9"/>
        <v>0</v>
      </c>
      <c r="V53" s="93" t="str">
        <f t="shared" si="10"/>
        <v>SI</v>
      </c>
      <c r="W53" s="95">
        <f t="shared" si="11"/>
        <v>-983.45509155854404</v>
      </c>
      <c r="X53" s="95">
        <f t="shared" si="12"/>
        <v>0</v>
      </c>
      <c r="Y53" s="95">
        <f t="shared" si="13"/>
        <v>0</v>
      </c>
      <c r="Z53" s="95">
        <f t="shared" si="14"/>
        <v>983.45509155854404</v>
      </c>
      <c r="AA53" s="93" t="str">
        <f t="shared" si="15"/>
        <v/>
      </c>
      <c r="AB53" s="100"/>
      <c r="AC53" s="71"/>
      <c r="AD53" s="39"/>
    </row>
    <row r="54" spans="1:30" ht="18.75" x14ac:dyDescent="0.25">
      <c r="A54" s="39"/>
      <c r="B54" s="39"/>
      <c r="C54" s="93" t="s">
        <v>107</v>
      </c>
      <c r="D54" s="94">
        <f t="shared" ref="D54:D85" si="20">$M$8*10^-3</f>
        <v>6.7500000000000004E-2</v>
      </c>
      <c r="E54" s="94">
        <f t="shared" ref="E54:E85" si="21">E53-(D54-($C$10/$C$13*D54))/100</f>
        <v>4.7978089887640366E-2</v>
      </c>
      <c r="F54" s="93" t="s">
        <v>107</v>
      </c>
      <c r="G54" s="95">
        <f t="shared" si="18"/>
        <v>-722.78787878787386</v>
      </c>
      <c r="H54" s="71">
        <v>0</v>
      </c>
      <c r="I54" s="71">
        <v>0</v>
      </c>
      <c r="J54" s="71">
        <v>0</v>
      </c>
      <c r="K54" s="71">
        <v>0</v>
      </c>
      <c r="L54" s="96">
        <f t="shared" si="1"/>
        <v>491727.54577927204</v>
      </c>
      <c r="M54" s="96">
        <v>0</v>
      </c>
      <c r="N54" s="96">
        <f t="shared" si="2"/>
        <v>491727.54577927204</v>
      </c>
      <c r="O54" s="96">
        <f t="shared" si="3"/>
        <v>983455.09155854408</v>
      </c>
      <c r="P54" s="96">
        <f t="shared" si="19"/>
        <v>0</v>
      </c>
      <c r="Q54" s="97">
        <f t="shared" si="5"/>
        <v>-0.27969163735251007</v>
      </c>
      <c r="R54" s="97">
        <f t="shared" si="6"/>
        <v>0</v>
      </c>
      <c r="S54" s="71">
        <f t="shared" si="7"/>
        <v>0</v>
      </c>
      <c r="T54" s="98">
        <f t="shared" si="8"/>
        <v>0</v>
      </c>
      <c r="U54" s="99">
        <f t="shared" si="9"/>
        <v>0</v>
      </c>
      <c r="V54" s="93" t="str">
        <f t="shared" si="10"/>
        <v>SI</v>
      </c>
      <c r="W54" s="95">
        <f t="shared" si="11"/>
        <v>-983.45509155854404</v>
      </c>
      <c r="X54" s="95">
        <f t="shared" si="12"/>
        <v>0</v>
      </c>
      <c r="Y54" s="95">
        <f t="shared" si="13"/>
        <v>0</v>
      </c>
      <c r="Z54" s="95">
        <f t="shared" si="14"/>
        <v>983.45509155854404</v>
      </c>
      <c r="AA54" s="93" t="str">
        <f t="shared" si="15"/>
        <v/>
      </c>
      <c r="AB54" s="100"/>
      <c r="AC54" s="71"/>
      <c r="AD54" s="39"/>
    </row>
    <row r="55" spans="1:30" ht="18.75" x14ac:dyDescent="0.25">
      <c r="A55" s="39"/>
      <c r="B55" s="39"/>
      <c r="C55" s="93" t="s">
        <v>107</v>
      </c>
      <c r="D55" s="94">
        <f t="shared" si="20"/>
        <v>6.7500000000000004E-2</v>
      </c>
      <c r="E55" s="94">
        <f t="shared" si="21"/>
        <v>4.7386516853932498E-2</v>
      </c>
      <c r="F55" s="93" t="s">
        <v>107</v>
      </c>
      <c r="G55" s="95">
        <f t="shared" si="18"/>
        <v>-691.05882352940716</v>
      </c>
      <c r="H55" s="71">
        <v>0</v>
      </c>
      <c r="I55" s="71">
        <v>0</v>
      </c>
      <c r="J55" s="71">
        <v>0</v>
      </c>
      <c r="K55" s="71">
        <v>0</v>
      </c>
      <c r="L55" s="96">
        <f t="shared" si="1"/>
        <v>491727.54577927204</v>
      </c>
      <c r="M55" s="96">
        <v>0</v>
      </c>
      <c r="N55" s="96">
        <f t="shared" si="2"/>
        <v>491727.54577927204</v>
      </c>
      <c r="O55" s="96">
        <f t="shared" si="3"/>
        <v>983455.09155854408</v>
      </c>
      <c r="P55" s="96">
        <f t="shared" si="19"/>
        <v>0</v>
      </c>
      <c r="Q55" s="97">
        <f t="shared" si="5"/>
        <v>-0.27969163735251007</v>
      </c>
      <c r="R55" s="97">
        <f t="shared" si="6"/>
        <v>0</v>
      </c>
      <c r="S55" s="71">
        <f t="shared" si="7"/>
        <v>0</v>
      </c>
      <c r="T55" s="98">
        <f t="shared" si="8"/>
        <v>0</v>
      </c>
      <c r="U55" s="99">
        <f t="shared" si="9"/>
        <v>0</v>
      </c>
      <c r="V55" s="93" t="str">
        <f t="shared" si="10"/>
        <v>SI</v>
      </c>
      <c r="W55" s="95">
        <f t="shared" si="11"/>
        <v>-983.45509155854404</v>
      </c>
      <c r="X55" s="95">
        <f t="shared" si="12"/>
        <v>0</v>
      </c>
      <c r="Y55" s="95">
        <f t="shared" si="13"/>
        <v>0</v>
      </c>
      <c r="Z55" s="95">
        <f t="shared" si="14"/>
        <v>983.45509155854404</v>
      </c>
      <c r="AA55" s="93" t="str">
        <f t="shared" si="15"/>
        <v/>
      </c>
      <c r="AB55" s="100"/>
      <c r="AC55" s="71"/>
      <c r="AD55" s="39"/>
    </row>
    <row r="56" spans="1:30" ht="18.75" x14ac:dyDescent="0.25">
      <c r="A56" s="39"/>
      <c r="B56" s="39"/>
      <c r="C56" s="93" t="s">
        <v>107</v>
      </c>
      <c r="D56" s="94">
        <f t="shared" si="20"/>
        <v>6.7500000000000004E-2</v>
      </c>
      <c r="E56" s="94">
        <f t="shared" si="21"/>
        <v>4.679494382022463E-2</v>
      </c>
      <c r="F56" s="93" t="s">
        <v>107</v>
      </c>
      <c r="G56" s="95">
        <f t="shared" si="18"/>
        <v>-661.14285714285256</v>
      </c>
      <c r="H56" s="71">
        <v>0</v>
      </c>
      <c r="I56" s="71">
        <v>0</v>
      </c>
      <c r="J56" s="71">
        <v>0</v>
      </c>
      <c r="K56" s="71">
        <v>0</v>
      </c>
      <c r="L56" s="96">
        <f t="shared" si="1"/>
        <v>491727.54577927204</v>
      </c>
      <c r="M56" s="96">
        <v>0</v>
      </c>
      <c r="N56" s="96">
        <f t="shared" si="2"/>
        <v>491727.54577927204</v>
      </c>
      <c r="O56" s="96">
        <f t="shared" si="3"/>
        <v>983455.09155854408</v>
      </c>
      <c r="P56" s="96">
        <f t="shared" si="19"/>
        <v>0</v>
      </c>
      <c r="Q56" s="97">
        <f t="shared" si="5"/>
        <v>-0.27969163735251007</v>
      </c>
      <c r="R56" s="97">
        <f t="shared" si="6"/>
        <v>0</v>
      </c>
      <c r="S56" s="71">
        <f t="shared" si="7"/>
        <v>0</v>
      </c>
      <c r="T56" s="98">
        <f t="shared" si="8"/>
        <v>0</v>
      </c>
      <c r="U56" s="99">
        <f t="shared" si="9"/>
        <v>0</v>
      </c>
      <c r="V56" s="93" t="str">
        <f t="shared" si="10"/>
        <v>SI</v>
      </c>
      <c r="W56" s="95">
        <f t="shared" si="11"/>
        <v>-983.45509155854404</v>
      </c>
      <c r="X56" s="95">
        <f t="shared" si="12"/>
        <v>0</v>
      </c>
      <c r="Y56" s="95">
        <f t="shared" si="13"/>
        <v>0</v>
      </c>
      <c r="Z56" s="95">
        <f t="shared" si="14"/>
        <v>983.45509155854404</v>
      </c>
      <c r="AA56" s="93" t="str">
        <f t="shared" si="15"/>
        <v/>
      </c>
      <c r="AB56" s="100"/>
      <c r="AC56" s="71"/>
      <c r="AD56" s="39"/>
    </row>
    <row r="57" spans="1:30" ht="18.75" x14ac:dyDescent="0.25">
      <c r="A57" s="39"/>
      <c r="B57" s="39"/>
      <c r="C57" s="93" t="s">
        <v>107</v>
      </c>
      <c r="D57" s="94">
        <f t="shared" si="20"/>
        <v>6.7500000000000004E-2</v>
      </c>
      <c r="E57" s="94">
        <f t="shared" si="21"/>
        <v>4.6203370786516762E-2</v>
      </c>
      <c r="F57" s="93" t="s">
        <v>107</v>
      </c>
      <c r="G57" s="95">
        <f t="shared" si="18"/>
        <v>-632.88888888888448</v>
      </c>
      <c r="H57" s="71">
        <v>0</v>
      </c>
      <c r="I57" s="71">
        <v>0</v>
      </c>
      <c r="J57" s="71">
        <v>0</v>
      </c>
      <c r="K57" s="71">
        <v>0</v>
      </c>
      <c r="L57" s="96">
        <f t="shared" si="1"/>
        <v>491727.54577927204</v>
      </c>
      <c r="M57" s="96">
        <v>0</v>
      </c>
      <c r="N57" s="96">
        <f t="shared" si="2"/>
        <v>491727.54577927204</v>
      </c>
      <c r="O57" s="96">
        <f t="shared" si="3"/>
        <v>983455.09155854408</v>
      </c>
      <c r="P57" s="96">
        <f t="shared" si="19"/>
        <v>0</v>
      </c>
      <c r="Q57" s="97">
        <f t="shared" si="5"/>
        <v>-0.27969163735251007</v>
      </c>
      <c r="R57" s="97">
        <f t="shared" si="6"/>
        <v>0</v>
      </c>
      <c r="S57" s="71">
        <f t="shared" si="7"/>
        <v>0</v>
      </c>
      <c r="T57" s="98">
        <f t="shared" si="8"/>
        <v>0</v>
      </c>
      <c r="U57" s="99">
        <f t="shared" si="9"/>
        <v>0</v>
      </c>
      <c r="V57" s="93" t="str">
        <f t="shared" si="10"/>
        <v>SI</v>
      </c>
      <c r="W57" s="95">
        <f t="shared" si="11"/>
        <v>-983.45509155854404</v>
      </c>
      <c r="X57" s="95">
        <f t="shared" si="12"/>
        <v>0</v>
      </c>
      <c r="Y57" s="95">
        <f t="shared" si="13"/>
        <v>0</v>
      </c>
      <c r="Z57" s="95">
        <f t="shared" si="14"/>
        <v>983.45509155854404</v>
      </c>
      <c r="AA57" s="93" t="str">
        <f t="shared" si="15"/>
        <v/>
      </c>
      <c r="AB57" s="100"/>
      <c r="AC57" s="71"/>
      <c r="AD57" s="39"/>
    </row>
    <row r="58" spans="1:30" ht="18.75" x14ac:dyDescent="0.25">
      <c r="A58" s="39"/>
      <c r="B58" s="39"/>
      <c r="C58" s="93" t="s">
        <v>107</v>
      </c>
      <c r="D58" s="94">
        <f t="shared" si="20"/>
        <v>6.7500000000000004E-2</v>
      </c>
      <c r="E58" s="94">
        <f t="shared" si="21"/>
        <v>4.5611797752808894E-2</v>
      </c>
      <c r="F58" s="93" t="s">
        <v>107</v>
      </c>
      <c r="G58" s="95">
        <f t="shared" si="18"/>
        <v>-606.16216216215798</v>
      </c>
      <c r="H58" s="71">
        <v>0</v>
      </c>
      <c r="I58" s="71">
        <v>0</v>
      </c>
      <c r="J58" s="71">
        <v>0</v>
      </c>
      <c r="K58" s="71">
        <v>0</v>
      </c>
      <c r="L58" s="96">
        <f t="shared" si="1"/>
        <v>491727.54577927204</v>
      </c>
      <c r="M58" s="96">
        <v>0</v>
      </c>
      <c r="N58" s="96">
        <f t="shared" si="2"/>
        <v>491727.54577927204</v>
      </c>
      <c r="O58" s="96">
        <f t="shared" si="3"/>
        <v>983455.09155854408</v>
      </c>
      <c r="P58" s="96">
        <f t="shared" si="19"/>
        <v>0</v>
      </c>
      <c r="Q58" s="97">
        <f t="shared" si="5"/>
        <v>-0.27969163735251007</v>
      </c>
      <c r="R58" s="97">
        <f t="shared" si="6"/>
        <v>0</v>
      </c>
      <c r="S58" s="71">
        <f t="shared" si="7"/>
        <v>0</v>
      </c>
      <c r="T58" s="98">
        <f t="shared" si="8"/>
        <v>0</v>
      </c>
      <c r="U58" s="99">
        <f t="shared" si="9"/>
        <v>0</v>
      </c>
      <c r="V58" s="93" t="str">
        <f t="shared" si="10"/>
        <v>SI</v>
      </c>
      <c r="W58" s="95">
        <f t="shared" si="11"/>
        <v>-983.45509155854404</v>
      </c>
      <c r="X58" s="95">
        <f t="shared" si="12"/>
        <v>0</v>
      </c>
      <c r="Y58" s="95">
        <f t="shared" si="13"/>
        <v>0</v>
      </c>
      <c r="Z58" s="95">
        <f t="shared" si="14"/>
        <v>983.45509155854404</v>
      </c>
      <c r="AA58" s="93" t="str">
        <f t="shared" si="15"/>
        <v/>
      </c>
      <c r="AB58" s="100"/>
      <c r="AC58" s="71"/>
      <c r="AD58" s="39"/>
    </row>
    <row r="59" spans="1:30" ht="18.75" x14ac:dyDescent="0.25">
      <c r="A59" s="39"/>
      <c r="B59" s="39"/>
      <c r="C59" s="93" t="s">
        <v>107</v>
      </c>
      <c r="D59" s="94">
        <f t="shared" si="20"/>
        <v>6.7500000000000004E-2</v>
      </c>
      <c r="E59" s="94">
        <f t="shared" si="21"/>
        <v>4.5020224719101026E-2</v>
      </c>
      <c r="F59" s="93" t="s">
        <v>107</v>
      </c>
      <c r="G59" s="95">
        <f t="shared" si="18"/>
        <v>-580.84210526315371</v>
      </c>
      <c r="H59" s="71">
        <v>0</v>
      </c>
      <c r="I59" s="71">
        <v>0</v>
      </c>
      <c r="J59" s="71">
        <v>0</v>
      </c>
      <c r="K59" s="71">
        <v>0</v>
      </c>
      <c r="L59" s="96">
        <f t="shared" si="1"/>
        <v>491727.54577927204</v>
      </c>
      <c r="M59" s="96">
        <v>0</v>
      </c>
      <c r="N59" s="96">
        <f t="shared" si="2"/>
        <v>491727.54577927204</v>
      </c>
      <c r="O59" s="96">
        <f t="shared" si="3"/>
        <v>983455.09155854408</v>
      </c>
      <c r="P59" s="96">
        <f t="shared" si="19"/>
        <v>0</v>
      </c>
      <c r="Q59" s="97">
        <f t="shared" si="5"/>
        <v>-0.27969163735251007</v>
      </c>
      <c r="R59" s="97">
        <f t="shared" si="6"/>
        <v>0</v>
      </c>
      <c r="S59" s="71">
        <f t="shared" si="7"/>
        <v>0</v>
      </c>
      <c r="T59" s="98">
        <f t="shared" si="8"/>
        <v>0</v>
      </c>
      <c r="U59" s="99">
        <f t="shared" si="9"/>
        <v>0</v>
      </c>
      <c r="V59" s="93" t="str">
        <f t="shared" si="10"/>
        <v>SI</v>
      </c>
      <c r="W59" s="95">
        <f t="shared" si="11"/>
        <v>-983.45509155854404</v>
      </c>
      <c r="X59" s="95">
        <f t="shared" si="12"/>
        <v>0</v>
      </c>
      <c r="Y59" s="95">
        <f t="shared" si="13"/>
        <v>0</v>
      </c>
      <c r="Z59" s="95">
        <f t="shared" si="14"/>
        <v>983.45509155854404</v>
      </c>
      <c r="AA59" s="93" t="str">
        <f t="shared" si="15"/>
        <v/>
      </c>
      <c r="AB59" s="100"/>
      <c r="AC59" s="71"/>
      <c r="AD59" s="39"/>
    </row>
    <row r="60" spans="1:30" ht="18.75" x14ac:dyDescent="0.25">
      <c r="A60" s="39"/>
      <c r="B60" s="39"/>
      <c r="C60" s="93" t="s">
        <v>107</v>
      </c>
      <c r="D60" s="94">
        <f t="shared" si="20"/>
        <v>6.7500000000000004E-2</v>
      </c>
      <c r="E60" s="94">
        <f t="shared" si="21"/>
        <v>4.4428651685393158E-2</v>
      </c>
      <c r="F60" s="93" t="s">
        <v>107</v>
      </c>
      <c r="G60" s="95">
        <f t="shared" si="18"/>
        <v>-556.82051282050872</v>
      </c>
      <c r="H60" s="71">
        <v>0</v>
      </c>
      <c r="I60" s="71">
        <v>0</v>
      </c>
      <c r="J60" s="71">
        <v>0</v>
      </c>
      <c r="K60" s="71">
        <v>0</v>
      </c>
      <c r="L60" s="96">
        <f t="shared" si="1"/>
        <v>491727.54577927204</v>
      </c>
      <c r="M60" s="96">
        <v>0</v>
      </c>
      <c r="N60" s="96">
        <f t="shared" si="2"/>
        <v>491727.54577927204</v>
      </c>
      <c r="O60" s="96">
        <f t="shared" si="3"/>
        <v>983455.09155854408</v>
      </c>
      <c r="P60" s="96">
        <f t="shared" si="19"/>
        <v>0</v>
      </c>
      <c r="Q60" s="97">
        <f t="shared" si="5"/>
        <v>-0.27969163735251007</v>
      </c>
      <c r="R60" s="97">
        <f t="shared" si="6"/>
        <v>0</v>
      </c>
      <c r="S60" s="71">
        <f t="shared" si="7"/>
        <v>0</v>
      </c>
      <c r="T60" s="98">
        <f t="shared" si="8"/>
        <v>0</v>
      </c>
      <c r="U60" s="99">
        <f t="shared" si="9"/>
        <v>0</v>
      </c>
      <c r="V60" s="93" t="str">
        <f t="shared" si="10"/>
        <v>SI</v>
      </c>
      <c r="W60" s="95">
        <f t="shared" si="11"/>
        <v>-983.45509155854404</v>
      </c>
      <c r="X60" s="95">
        <f t="shared" si="12"/>
        <v>0</v>
      </c>
      <c r="Y60" s="95">
        <f t="shared" si="13"/>
        <v>0</v>
      </c>
      <c r="Z60" s="95">
        <f t="shared" si="14"/>
        <v>983.45509155854404</v>
      </c>
      <c r="AA60" s="93" t="str">
        <f t="shared" si="15"/>
        <v/>
      </c>
      <c r="AB60" s="100"/>
      <c r="AC60" s="71"/>
      <c r="AD60" s="39"/>
    </row>
    <row r="61" spans="1:30" ht="18.75" x14ac:dyDescent="0.25">
      <c r="A61" s="39"/>
      <c r="B61" s="39"/>
      <c r="C61" s="93" t="s">
        <v>107</v>
      </c>
      <c r="D61" s="94">
        <f t="shared" si="20"/>
        <v>6.7500000000000004E-2</v>
      </c>
      <c r="E61" s="94">
        <f t="shared" si="21"/>
        <v>4.3837078651685291E-2</v>
      </c>
      <c r="F61" s="93" t="s">
        <v>107</v>
      </c>
      <c r="G61" s="95">
        <f t="shared" si="18"/>
        <v>-533.99999999999602</v>
      </c>
      <c r="H61" s="71">
        <v>0</v>
      </c>
      <c r="I61" s="71">
        <v>0</v>
      </c>
      <c r="J61" s="71">
        <v>0</v>
      </c>
      <c r="K61" s="71">
        <v>0</v>
      </c>
      <c r="L61" s="96">
        <f t="shared" si="1"/>
        <v>491727.54577927204</v>
      </c>
      <c r="M61" s="96">
        <v>0</v>
      </c>
      <c r="N61" s="96">
        <f t="shared" si="2"/>
        <v>491727.54577927204</v>
      </c>
      <c r="O61" s="96">
        <f t="shared" si="3"/>
        <v>983455.09155854408</v>
      </c>
      <c r="P61" s="96">
        <f t="shared" si="19"/>
        <v>0</v>
      </c>
      <c r="Q61" s="97">
        <f t="shared" si="5"/>
        <v>-0.27969163735251007</v>
      </c>
      <c r="R61" s="97">
        <f t="shared" si="6"/>
        <v>0</v>
      </c>
      <c r="S61" s="71">
        <f t="shared" si="7"/>
        <v>0</v>
      </c>
      <c r="T61" s="98">
        <f t="shared" si="8"/>
        <v>0</v>
      </c>
      <c r="U61" s="99">
        <f t="shared" si="9"/>
        <v>0</v>
      </c>
      <c r="V61" s="93" t="str">
        <f t="shared" si="10"/>
        <v>SI</v>
      </c>
      <c r="W61" s="95">
        <f t="shared" si="11"/>
        <v>-983.45509155854404</v>
      </c>
      <c r="X61" s="95">
        <f t="shared" si="12"/>
        <v>0</v>
      </c>
      <c r="Y61" s="95">
        <f t="shared" si="13"/>
        <v>0</v>
      </c>
      <c r="Z61" s="95">
        <f t="shared" si="14"/>
        <v>983.45509155854404</v>
      </c>
      <c r="AA61" s="93" t="str">
        <f t="shared" si="15"/>
        <v/>
      </c>
      <c r="AB61" s="100"/>
      <c r="AC61" s="71"/>
      <c r="AD61" s="39"/>
    </row>
    <row r="62" spans="1:30" ht="18.75" x14ac:dyDescent="0.25">
      <c r="A62" s="39"/>
      <c r="B62" s="39"/>
      <c r="C62" s="93" t="s">
        <v>107</v>
      </c>
      <c r="D62" s="94">
        <f t="shared" si="20"/>
        <v>6.7500000000000004E-2</v>
      </c>
      <c r="E62" s="94">
        <f t="shared" si="21"/>
        <v>4.3245505617977423E-2</v>
      </c>
      <c r="F62" s="93" t="s">
        <v>107</v>
      </c>
      <c r="G62" s="95">
        <f t="shared" si="18"/>
        <v>-512.29268292682536</v>
      </c>
      <c r="H62" s="71">
        <v>0</v>
      </c>
      <c r="I62" s="71">
        <v>0</v>
      </c>
      <c r="J62" s="71">
        <v>0</v>
      </c>
      <c r="K62" s="71">
        <v>0</v>
      </c>
      <c r="L62" s="96">
        <f t="shared" si="1"/>
        <v>491727.54577927204</v>
      </c>
      <c r="M62" s="96">
        <v>0</v>
      </c>
      <c r="N62" s="96">
        <f t="shared" si="2"/>
        <v>491727.54577927204</v>
      </c>
      <c r="O62" s="96">
        <f t="shared" si="3"/>
        <v>983455.09155854408</v>
      </c>
      <c r="P62" s="96">
        <f t="shared" si="19"/>
        <v>0</v>
      </c>
      <c r="Q62" s="97">
        <f t="shared" si="5"/>
        <v>-0.27969163735251007</v>
      </c>
      <c r="R62" s="97">
        <f t="shared" si="6"/>
        <v>0</v>
      </c>
      <c r="S62" s="71">
        <f t="shared" si="7"/>
        <v>0</v>
      </c>
      <c r="T62" s="98">
        <f t="shared" si="8"/>
        <v>0</v>
      </c>
      <c r="U62" s="99">
        <f t="shared" si="9"/>
        <v>0</v>
      </c>
      <c r="V62" s="93" t="str">
        <f t="shared" si="10"/>
        <v>SI</v>
      </c>
      <c r="W62" s="95">
        <f t="shared" si="11"/>
        <v>-983.45509155854404</v>
      </c>
      <c r="X62" s="95">
        <f t="shared" si="12"/>
        <v>0</v>
      </c>
      <c r="Y62" s="95">
        <f t="shared" si="13"/>
        <v>0</v>
      </c>
      <c r="Z62" s="95">
        <f t="shared" si="14"/>
        <v>983.45509155854404</v>
      </c>
      <c r="AA62" s="93" t="str">
        <f t="shared" si="15"/>
        <v/>
      </c>
      <c r="AB62" s="100"/>
      <c r="AC62" s="71"/>
      <c r="AD62" s="39"/>
    </row>
    <row r="63" spans="1:30" ht="18.75" x14ac:dyDescent="0.25">
      <c r="A63" s="39"/>
      <c r="B63" s="39"/>
      <c r="C63" s="93" t="s">
        <v>107</v>
      </c>
      <c r="D63" s="94">
        <f t="shared" si="20"/>
        <v>6.7500000000000004E-2</v>
      </c>
      <c r="E63" s="94">
        <f t="shared" si="21"/>
        <v>4.2653932584269555E-2</v>
      </c>
      <c r="F63" s="93" t="s">
        <v>107</v>
      </c>
      <c r="G63" s="95">
        <f t="shared" si="18"/>
        <v>-491.61904761904384</v>
      </c>
      <c r="H63" s="71">
        <v>0</v>
      </c>
      <c r="I63" s="71">
        <v>0</v>
      </c>
      <c r="J63" s="71">
        <v>0</v>
      </c>
      <c r="K63" s="71">
        <v>0</v>
      </c>
      <c r="L63" s="96">
        <f t="shared" si="1"/>
        <v>491727.54577927204</v>
      </c>
      <c r="M63" s="96">
        <v>0</v>
      </c>
      <c r="N63" s="96">
        <f t="shared" si="2"/>
        <v>491727.54577927204</v>
      </c>
      <c r="O63" s="96">
        <f t="shared" si="3"/>
        <v>983455.09155854408</v>
      </c>
      <c r="P63" s="96">
        <f t="shared" si="19"/>
        <v>0</v>
      </c>
      <c r="Q63" s="97">
        <f t="shared" si="5"/>
        <v>-0.27969163735251007</v>
      </c>
      <c r="R63" s="97">
        <f t="shared" si="6"/>
        <v>0</v>
      </c>
      <c r="S63" s="71">
        <f t="shared" si="7"/>
        <v>0</v>
      </c>
      <c r="T63" s="98">
        <f t="shared" si="8"/>
        <v>0</v>
      </c>
      <c r="U63" s="99">
        <f t="shared" si="9"/>
        <v>0</v>
      </c>
      <c r="V63" s="93" t="str">
        <f t="shared" si="10"/>
        <v>SI</v>
      </c>
      <c r="W63" s="95">
        <f t="shared" si="11"/>
        <v>-983.45509155854404</v>
      </c>
      <c r="X63" s="95">
        <f t="shared" si="12"/>
        <v>0</v>
      </c>
      <c r="Y63" s="95">
        <f t="shared" si="13"/>
        <v>0</v>
      </c>
      <c r="Z63" s="95">
        <f t="shared" si="14"/>
        <v>983.45509155854404</v>
      </c>
      <c r="AA63" s="93" t="str">
        <f t="shared" si="15"/>
        <v/>
      </c>
      <c r="AB63" s="100"/>
      <c r="AC63" s="71"/>
      <c r="AD63" s="39"/>
    </row>
    <row r="64" spans="1:30" ht="18.75" x14ac:dyDescent="0.25">
      <c r="A64" s="39"/>
      <c r="B64" s="39"/>
      <c r="C64" s="93" t="s">
        <v>107</v>
      </c>
      <c r="D64" s="94">
        <f t="shared" si="20"/>
        <v>6.7500000000000004E-2</v>
      </c>
      <c r="E64" s="94">
        <f t="shared" si="21"/>
        <v>4.2062359550561687E-2</v>
      </c>
      <c r="F64" s="93" t="s">
        <v>107</v>
      </c>
      <c r="G64" s="95">
        <f t="shared" si="18"/>
        <v>-471.90697674418232</v>
      </c>
      <c r="H64" s="71">
        <v>0</v>
      </c>
      <c r="I64" s="71">
        <v>0</v>
      </c>
      <c r="J64" s="71">
        <v>0</v>
      </c>
      <c r="K64" s="71">
        <v>0</v>
      </c>
      <c r="L64" s="96">
        <f t="shared" si="1"/>
        <v>491727.54577927204</v>
      </c>
      <c r="M64" s="96">
        <v>0</v>
      </c>
      <c r="N64" s="96">
        <f t="shared" si="2"/>
        <v>491727.54577927204</v>
      </c>
      <c r="O64" s="96">
        <f t="shared" si="3"/>
        <v>983455.09155854408</v>
      </c>
      <c r="P64" s="96">
        <f t="shared" si="19"/>
        <v>0</v>
      </c>
      <c r="Q64" s="97">
        <f t="shared" si="5"/>
        <v>-0.27969163735251007</v>
      </c>
      <c r="R64" s="97">
        <f t="shared" si="6"/>
        <v>0</v>
      </c>
      <c r="S64" s="71">
        <f t="shared" si="7"/>
        <v>0</v>
      </c>
      <c r="T64" s="98">
        <f t="shared" si="8"/>
        <v>0</v>
      </c>
      <c r="U64" s="99">
        <f t="shared" si="9"/>
        <v>0</v>
      </c>
      <c r="V64" s="93" t="str">
        <f t="shared" si="10"/>
        <v>SI</v>
      </c>
      <c r="W64" s="95">
        <f t="shared" si="11"/>
        <v>-983.45509155854404</v>
      </c>
      <c r="X64" s="95">
        <f t="shared" si="12"/>
        <v>0</v>
      </c>
      <c r="Y64" s="95">
        <f t="shared" si="13"/>
        <v>0</v>
      </c>
      <c r="Z64" s="95">
        <f t="shared" si="14"/>
        <v>983.45509155854404</v>
      </c>
      <c r="AA64" s="93" t="str">
        <f t="shared" si="15"/>
        <v/>
      </c>
      <c r="AB64" s="100"/>
      <c r="AC64" s="71"/>
      <c r="AD64" s="39"/>
    </row>
    <row r="65" spans="1:30" ht="18.75" x14ac:dyDescent="0.25">
      <c r="A65" s="39"/>
      <c r="B65" s="39"/>
      <c r="C65" s="93" t="s">
        <v>107</v>
      </c>
      <c r="D65" s="94">
        <f t="shared" si="20"/>
        <v>6.7500000000000004E-2</v>
      </c>
      <c r="E65" s="94">
        <f t="shared" si="21"/>
        <v>4.1470786516853819E-2</v>
      </c>
      <c r="F65" s="93" t="s">
        <v>107</v>
      </c>
      <c r="G65" s="95">
        <f t="shared" si="18"/>
        <v>-453.09090909090548</v>
      </c>
      <c r="H65" s="71">
        <v>0</v>
      </c>
      <c r="I65" s="71">
        <v>0</v>
      </c>
      <c r="J65" s="71">
        <v>0</v>
      </c>
      <c r="K65" s="71">
        <v>0</v>
      </c>
      <c r="L65" s="96">
        <f t="shared" si="1"/>
        <v>491727.54577927204</v>
      </c>
      <c r="M65" s="96">
        <v>0</v>
      </c>
      <c r="N65" s="96">
        <f t="shared" si="2"/>
        <v>491727.54577927204</v>
      </c>
      <c r="O65" s="96">
        <f t="shared" si="3"/>
        <v>983455.09155854408</v>
      </c>
      <c r="P65" s="96">
        <f t="shared" si="19"/>
        <v>0</v>
      </c>
      <c r="Q65" s="97">
        <f t="shared" si="5"/>
        <v>-0.27969163735251007</v>
      </c>
      <c r="R65" s="97">
        <f t="shared" si="6"/>
        <v>0</v>
      </c>
      <c r="S65" s="71">
        <f t="shared" si="7"/>
        <v>0</v>
      </c>
      <c r="T65" s="98">
        <f t="shared" si="8"/>
        <v>0</v>
      </c>
      <c r="U65" s="99">
        <f t="shared" si="9"/>
        <v>0</v>
      </c>
      <c r="V65" s="93" t="str">
        <f t="shared" si="10"/>
        <v>SI</v>
      </c>
      <c r="W65" s="95">
        <f t="shared" si="11"/>
        <v>-983.45509155854404</v>
      </c>
      <c r="X65" s="95">
        <f t="shared" si="12"/>
        <v>0</v>
      </c>
      <c r="Y65" s="95">
        <f t="shared" si="13"/>
        <v>0</v>
      </c>
      <c r="Z65" s="95">
        <f t="shared" si="14"/>
        <v>983.45509155854404</v>
      </c>
      <c r="AA65" s="93" t="str">
        <f t="shared" si="15"/>
        <v/>
      </c>
      <c r="AB65" s="100"/>
      <c r="AC65" s="71"/>
      <c r="AD65" s="39"/>
    </row>
    <row r="66" spans="1:30" ht="18.75" x14ac:dyDescent="0.25">
      <c r="A66" s="39"/>
      <c r="B66" s="39"/>
      <c r="C66" s="93" t="s">
        <v>107</v>
      </c>
      <c r="D66" s="94">
        <f t="shared" si="20"/>
        <v>6.7500000000000004E-2</v>
      </c>
      <c r="E66" s="94">
        <f t="shared" si="21"/>
        <v>4.0879213483145951E-2</v>
      </c>
      <c r="F66" s="93" t="s">
        <v>107</v>
      </c>
      <c r="G66" s="95">
        <f t="shared" si="18"/>
        <v>-435.11111111110756</v>
      </c>
      <c r="H66" s="71">
        <v>0</v>
      </c>
      <c r="I66" s="71">
        <v>0</v>
      </c>
      <c r="J66" s="71">
        <v>0</v>
      </c>
      <c r="K66" s="71">
        <v>0</v>
      </c>
      <c r="L66" s="96">
        <f t="shared" si="1"/>
        <v>491727.54577927204</v>
      </c>
      <c r="M66" s="96">
        <v>0</v>
      </c>
      <c r="N66" s="96">
        <f t="shared" si="2"/>
        <v>491727.54577927204</v>
      </c>
      <c r="O66" s="96">
        <f t="shared" si="3"/>
        <v>983455.09155854408</v>
      </c>
      <c r="P66" s="96">
        <f t="shared" si="19"/>
        <v>0</v>
      </c>
      <c r="Q66" s="97">
        <f t="shared" si="5"/>
        <v>-0.27969163735251007</v>
      </c>
      <c r="R66" s="97">
        <f t="shared" si="6"/>
        <v>0</v>
      </c>
      <c r="S66" s="71">
        <f t="shared" si="7"/>
        <v>0</v>
      </c>
      <c r="T66" s="98">
        <f t="shared" si="8"/>
        <v>0</v>
      </c>
      <c r="U66" s="99">
        <f t="shared" si="9"/>
        <v>0</v>
      </c>
      <c r="V66" s="93" t="str">
        <f t="shared" si="10"/>
        <v>SI</v>
      </c>
      <c r="W66" s="95">
        <f t="shared" si="11"/>
        <v>-983.45509155854404</v>
      </c>
      <c r="X66" s="95">
        <f t="shared" si="12"/>
        <v>0</v>
      </c>
      <c r="Y66" s="95">
        <f t="shared" si="13"/>
        <v>0</v>
      </c>
      <c r="Z66" s="95">
        <f t="shared" si="14"/>
        <v>983.45509155854404</v>
      </c>
      <c r="AA66" s="93" t="str">
        <f t="shared" si="15"/>
        <v/>
      </c>
      <c r="AB66" s="100"/>
      <c r="AC66" s="71"/>
      <c r="AD66" s="39"/>
    </row>
    <row r="67" spans="1:30" ht="18.75" x14ac:dyDescent="0.25">
      <c r="A67" s="39"/>
      <c r="B67" s="39"/>
      <c r="C67" s="93" t="s">
        <v>107</v>
      </c>
      <c r="D67" s="94">
        <f t="shared" si="20"/>
        <v>6.7500000000000004E-2</v>
      </c>
      <c r="E67" s="94">
        <f t="shared" si="21"/>
        <v>4.0287640449438084E-2</v>
      </c>
      <c r="F67" s="93" t="s">
        <v>107</v>
      </c>
      <c r="G67" s="95">
        <f t="shared" si="18"/>
        <v>-417.91304347825735</v>
      </c>
      <c r="H67" s="71">
        <v>0</v>
      </c>
      <c r="I67" s="71">
        <v>0</v>
      </c>
      <c r="J67" s="71">
        <v>0</v>
      </c>
      <c r="K67" s="71">
        <v>0</v>
      </c>
      <c r="L67" s="96">
        <f t="shared" si="1"/>
        <v>491727.54577927204</v>
      </c>
      <c r="M67" s="96">
        <v>0</v>
      </c>
      <c r="N67" s="96">
        <f t="shared" si="2"/>
        <v>491727.54577927204</v>
      </c>
      <c r="O67" s="96">
        <f t="shared" si="3"/>
        <v>983455.09155854408</v>
      </c>
      <c r="P67" s="96">
        <f t="shared" si="19"/>
        <v>0</v>
      </c>
      <c r="Q67" s="97">
        <f t="shared" si="5"/>
        <v>-0.27969163735251007</v>
      </c>
      <c r="R67" s="97">
        <f t="shared" si="6"/>
        <v>0</v>
      </c>
      <c r="S67" s="71">
        <f t="shared" si="7"/>
        <v>0</v>
      </c>
      <c r="T67" s="98">
        <f t="shared" si="8"/>
        <v>0</v>
      </c>
      <c r="U67" s="99">
        <f t="shared" si="9"/>
        <v>0</v>
      </c>
      <c r="V67" s="93" t="str">
        <f t="shared" si="10"/>
        <v>SI</v>
      </c>
      <c r="W67" s="95">
        <f t="shared" si="11"/>
        <v>-983.45509155854404</v>
      </c>
      <c r="X67" s="95">
        <f t="shared" si="12"/>
        <v>0</v>
      </c>
      <c r="Y67" s="95">
        <f t="shared" si="13"/>
        <v>0</v>
      </c>
      <c r="Z67" s="95">
        <f t="shared" si="14"/>
        <v>983.45509155854404</v>
      </c>
      <c r="AA67" s="93" t="str">
        <f t="shared" si="15"/>
        <v/>
      </c>
      <c r="AB67" s="100"/>
      <c r="AC67" s="71"/>
      <c r="AD67" s="39"/>
    </row>
    <row r="68" spans="1:30" ht="18.75" x14ac:dyDescent="0.25">
      <c r="A68" s="39"/>
      <c r="B68" s="39"/>
      <c r="C68" s="93" t="s">
        <v>107</v>
      </c>
      <c r="D68" s="94">
        <f t="shared" si="20"/>
        <v>6.7500000000000004E-2</v>
      </c>
      <c r="E68" s="94">
        <f t="shared" si="21"/>
        <v>3.9696067415730216E-2</v>
      </c>
      <c r="F68" s="93" t="s">
        <v>107</v>
      </c>
      <c r="G68" s="95">
        <f t="shared" si="18"/>
        <v>-401.44680851063492</v>
      </c>
      <c r="H68" s="71">
        <v>0</v>
      </c>
      <c r="I68" s="71">
        <v>0</v>
      </c>
      <c r="J68" s="71">
        <v>0</v>
      </c>
      <c r="K68" s="71">
        <v>0</v>
      </c>
      <c r="L68" s="96">
        <f t="shared" si="1"/>
        <v>491727.54577927204</v>
      </c>
      <c r="M68" s="96">
        <v>0</v>
      </c>
      <c r="N68" s="96">
        <f t="shared" si="2"/>
        <v>491727.54577927204</v>
      </c>
      <c r="O68" s="96">
        <f t="shared" si="3"/>
        <v>983455.09155854408</v>
      </c>
      <c r="P68" s="96">
        <f t="shared" si="19"/>
        <v>0</v>
      </c>
      <c r="Q68" s="97">
        <f t="shared" si="5"/>
        <v>-0.27969163735251007</v>
      </c>
      <c r="R68" s="97">
        <f t="shared" si="6"/>
        <v>0</v>
      </c>
      <c r="S68" s="71">
        <f t="shared" si="7"/>
        <v>0</v>
      </c>
      <c r="T68" s="98">
        <f t="shared" si="8"/>
        <v>0</v>
      </c>
      <c r="U68" s="99">
        <f t="shared" si="9"/>
        <v>0</v>
      </c>
      <c r="V68" s="93" t="str">
        <f t="shared" si="10"/>
        <v>SI</v>
      </c>
      <c r="W68" s="95">
        <f t="shared" si="11"/>
        <v>-983.45509155854404</v>
      </c>
      <c r="X68" s="95">
        <f t="shared" si="12"/>
        <v>0</v>
      </c>
      <c r="Y68" s="95">
        <f t="shared" si="13"/>
        <v>0</v>
      </c>
      <c r="Z68" s="95">
        <f t="shared" si="14"/>
        <v>983.45509155854404</v>
      </c>
      <c r="AA68" s="93" t="str">
        <f t="shared" si="15"/>
        <v/>
      </c>
      <c r="AB68" s="100"/>
      <c r="AC68" s="71"/>
      <c r="AD68" s="39"/>
    </row>
    <row r="69" spans="1:30" ht="18.75" x14ac:dyDescent="0.25">
      <c r="A69" s="39"/>
      <c r="B69" s="39"/>
      <c r="C69" s="93" t="s">
        <v>107</v>
      </c>
      <c r="D69" s="94">
        <f t="shared" si="20"/>
        <v>6.7500000000000004E-2</v>
      </c>
      <c r="E69" s="94">
        <f t="shared" si="21"/>
        <v>3.9104494382022348E-2</v>
      </c>
      <c r="F69" s="93" t="s">
        <v>107</v>
      </c>
      <c r="G69" s="95">
        <f t="shared" si="18"/>
        <v>-385.66666666666333</v>
      </c>
      <c r="H69" s="71">
        <v>0</v>
      </c>
      <c r="I69" s="71">
        <v>0</v>
      </c>
      <c r="J69" s="71">
        <v>0</v>
      </c>
      <c r="K69" s="71">
        <v>0</v>
      </c>
      <c r="L69" s="96">
        <f t="shared" si="1"/>
        <v>491727.54577927204</v>
      </c>
      <c r="M69" s="96">
        <v>0</v>
      </c>
      <c r="N69" s="96">
        <f t="shared" si="2"/>
        <v>491727.54577927204</v>
      </c>
      <c r="O69" s="96">
        <f t="shared" si="3"/>
        <v>983455.09155854408</v>
      </c>
      <c r="P69" s="96">
        <f t="shared" si="19"/>
        <v>0</v>
      </c>
      <c r="Q69" s="97">
        <f t="shared" si="5"/>
        <v>-0.27969163735251007</v>
      </c>
      <c r="R69" s="97">
        <f t="shared" si="6"/>
        <v>0</v>
      </c>
      <c r="S69" s="71">
        <f t="shared" si="7"/>
        <v>0</v>
      </c>
      <c r="T69" s="98">
        <f t="shared" si="8"/>
        <v>0</v>
      </c>
      <c r="U69" s="99">
        <f t="shared" si="9"/>
        <v>0</v>
      </c>
      <c r="V69" s="93" t="str">
        <f t="shared" si="10"/>
        <v>SI</v>
      </c>
      <c r="W69" s="95">
        <f t="shared" si="11"/>
        <v>-983.45509155854404</v>
      </c>
      <c r="X69" s="95">
        <f t="shared" si="12"/>
        <v>0</v>
      </c>
      <c r="Y69" s="95">
        <f t="shared" si="13"/>
        <v>0</v>
      </c>
      <c r="Z69" s="95">
        <f t="shared" si="14"/>
        <v>983.45509155854404</v>
      </c>
      <c r="AA69" s="93" t="str">
        <f t="shared" si="15"/>
        <v/>
      </c>
      <c r="AB69" s="100"/>
      <c r="AC69" s="71"/>
      <c r="AD69" s="39"/>
    </row>
    <row r="70" spans="1:30" ht="18.75" x14ac:dyDescent="0.25">
      <c r="A70" s="39"/>
      <c r="B70" s="39"/>
      <c r="C70" s="93" t="s">
        <v>107</v>
      </c>
      <c r="D70" s="94">
        <f t="shared" si="20"/>
        <v>6.7500000000000004E-2</v>
      </c>
      <c r="E70" s="94">
        <f t="shared" si="21"/>
        <v>3.851292134831448E-2</v>
      </c>
      <c r="F70" s="93" t="s">
        <v>107</v>
      </c>
      <c r="G70" s="95">
        <f t="shared" si="18"/>
        <v>-370.53061224489471</v>
      </c>
      <c r="H70" s="71">
        <v>0</v>
      </c>
      <c r="I70" s="71">
        <v>0</v>
      </c>
      <c r="J70" s="71">
        <v>0</v>
      </c>
      <c r="K70" s="71">
        <v>0</v>
      </c>
      <c r="L70" s="96">
        <f t="shared" si="1"/>
        <v>491727.54577927204</v>
      </c>
      <c r="M70" s="96">
        <v>0</v>
      </c>
      <c r="N70" s="96">
        <f t="shared" si="2"/>
        <v>491727.54577927204</v>
      </c>
      <c r="O70" s="96">
        <f t="shared" si="3"/>
        <v>983455.09155854408</v>
      </c>
      <c r="P70" s="96">
        <f t="shared" si="19"/>
        <v>0</v>
      </c>
      <c r="Q70" s="97">
        <f t="shared" si="5"/>
        <v>-0.27969163735251007</v>
      </c>
      <c r="R70" s="97">
        <f t="shared" si="6"/>
        <v>0</v>
      </c>
      <c r="S70" s="71">
        <f t="shared" si="7"/>
        <v>0</v>
      </c>
      <c r="T70" s="98">
        <f t="shared" si="8"/>
        <v>0</v>
      </c>
      <c r="U70" s="99">
        <f t="shared" si="9"/>
        <v>0</v>
      </c>
      <c r="V70" s="93" t="str">
        <f t="shared" si="10"/>
        <v>SI</v>
      </c>
      <c r="W70" s="95">
        <f t="shared" si="11"/>
        <v>-983.45509155854404</v>
      </c>
      <c r="X70" s="95">
        <f t="shared" si="12"/>
        <v>0</v>
      </c>
      <c r="Y70" s="95">
        <f t="shared" si="13"/>
        <v>0</v>
      </c>
      <c r="Z70" s="95">
        <f t="shared" si="14"/>
        <v>983.45509155854404</v>
      </c>
      <c r="AA70" s="93" t="str">
        <f t="shared" si="15"/>
        <v/>
      </c>
      <c r="AB70" s="100"/>
      <c r="AC70" s="71"/>
      <c r="AD70" s="39"/>
    </row>
    <row r="71" spans="1:30" ht="18.75" x14ac:dyDescent="0.25">
      <c r="A71" s="39"/>
      <c r="B71" s="39"/>
      <c r="C71" s="93" t="s">
        <v>107</v>
      </c>
      <c r="D71" s="94">
        <f t="shared" si="20"/>
        <v>6.7500000000000004E-2</v>
      </c>
      <c r="E71" s="94">
        <f t="shared" si="21"/>
        <v>3.7921348314606612E-2</v>
      </c>
      <c r="F71" s="93" t="s">
        <v>107</v>
      </c>
      <c r="G71" s="95">
        <f t="shared" si="18"/>
        <v>-355.99999999999682</v>
      </c>
      <c r="H71" s="71">
        <v>0</v>
      </c>
      <c r="I71" s="71">
        <v>0</v>
      </c>
      <c r="J71" s="71">
        <v>0</v>
      </c>
      <c r="K71" s="71">
        <v>0</v>
      </c>
      <c r="L71" s="96">
        <f t="shared" si="1"/>
        <v>491727.54577927204</v>
      </c>
      <c r="M71" s="96">
        <v>0</v>
      </c>
      <c r="N71" s="96">
        <f t="shared" si="2"/>
        <v>491727.54577927204</v>
      </c>
      <c r="O71" s="96">
        <f t="shared" si="3"/>
        <v>983455.09155854408</v>
      </c>
      <c r="P71" s="96">
        <f t="shared" si="19"/>
        <v>0</v>
      </c>
      <c r="Q71" s="97">
        <f t="shared" si="5"/>
        <v>-0.27969163735251007</v>
      </c>
      <c r="R71" s="97">
        <f t="shared" si="6"/>
        <v>0</v>
      </c>
      <c r="S71" s="71">
        <f t="shared" si="7"/>
        <v>0</v>
      </c>
      <c r="T71" s="98">
        <f t="shared" si="8"/>
        <v>0</v>
      </c>
      <c r="U71" s="99">
        <f t="shared" si="9"/>
        <v>0</v>
      </c>
      <c r="V71" s="93" t="str">
        <f t="shared" si="10"/>
        <v>SI</v>
      </c>
      <c r="W71" s="95">
        <f t="shared" si="11"/>
        <v>-983.45509155854404</v>
      </c>
      <c r="X71" s="95">
        <f t="shared" si="12"/>
        <v>0</v>
      </c>
      <c r="Y71" s="95">
        <f t="shared" si="13"/>
        <v>0</v>
      </c>
      <c r="Z71" s="95">
        <f t="shared" si="14"/>
        <v>983.45509155854404</v>
      </c>
      <c r="AA71" s="93" t="str">
        <f t="shared" si="15"/>
        <v/>
      </c>
      <c r="AB71" s="100"/>
      <c r="AC71" s="71"/>
      <c r="AD71" s="39"/>
    </row>
    <row r="72" spans="1:30" ht="18.75" x14ac:dyDescent="0.25">
      <c r="A72" s="39"/>
      <c r="B72" s="39"/>
      <c r="C72" s="93" t="s">
        <v>107</v>
      </c>
      <c r="D72" s="94">
        <f t="shared" si="20"/>
        <v>6.7500000000000004E-2</v>
      </c>
      <c r="E72" s="94">
        <f t="shared" si="21"/>
        <v>3.7329775280898744E-2</v>
      </c>
      <c r="F72" s="93" t="s">
        <v>107</v>
      </c>
      <c r="G72" s="95">
        <f t="shared" si="18"/>
        <v>-342.03921568627135</v>
      </c>
      <c r="H72" s="71">
        <v>0</v>
      </c>
      <c r="I72" s="71">
        <v>0</v>
      </c>
      <c r="J72" s="71">
        <v>0</v>
      </c>
      <c r="K72" s="71">
        <v>0</v>
      </c>
      <c r="L72" s="96">
        <f t="shared" si="1"/>
        <v>491727.54577927204</v>
      </c>
      <c r="M72" s="96">
        <v>0</v>
      </c>
      <c r="N72" s="96">
        <f t="shared" si="2"/>
        <v>491727.54577927204</v>
      </c>
      <c r="O72" s="96">
        <f t="shared" si="3"/>
        <v>983455.09155854408</v>
      </c>
      <c r="P72" s="96">
        <f t="shared" si="19"/>
        <v>0</v>
      </c>
      <c r="Q72" s="97">
        <f t="shared" si="5"/>
        <v>-0.27969163735251007</v>
      </c>
      <c r="R72" s="97">
        <f t="shared" si="6"/>
        <v>0</v>
      </c>
      <c r="S72" s="71">
        <f t="shared" si="7"/>
        <v>0</v>
      </c>
      <c r="T72" s="98">
        <f t="shared" si="8"/>
        <v>0</v>
      </c>
      <c r="U72" s="99">
        <f t="shared" si="9"/>
        <v>0</v>
      </c>
      <c r="V72" s="93" t="str">
        <f t="shared" si="10"/>
        <v>SI</v>
      </c>
      <c r="W72" s="95">
        <f t="shared" si="11"/>
        <v>-983.45509155854404</v>
      </c>
      <c r="X72" s="95">
        <f t="shared" si="12"/>
        <v>0</v>
      </c>
      <c r="Y72" s="95">
        <f t="shared" si="13"/>
        <v>0</v>
      </c>
      <c r="Z72" s="95">
        <f t="shared" si="14"/>
        <v>983.45509155854404</v>
      </c>
      <c r="AA72" s="93" t="str">
        <f t="shared" si="15"/>
        <v/>
      </c>
      <c r="AB72" s="100"/>
      <c r="AC72" s="71"/>
      <c r="AD72" s="39"/>
    </row>
    <row r="73" spans="1:30" ht="18.75" x14ac:dyDescent="0.25">
      <c r="A73" s="39"/>
      <c r="B73" s="39"/>
      <c r="C73" s="93" t="s">
        <v>107</v>
      </c>
      <c r="D73" s="94">
        <f t="shared" si="20"/>
        <v>6.7500000000000004E-2</v>
      </c>
      <c r="E73" s="94">
        <f t="shared" si="21"/>
        <v>3.6738202247190876E-2</v>
      </c>
      <c r="F73" s="93" t="s">
        <v>107</v>
      </c>
      <c r="G73" s="95">
        <f t="shared" si="18"/>
        <v>-328.61538461538152</v>
      </c>
      <c r="H73" s="71">
        <v>0</v>
      </c>
      <c r="I73" s="71">
        <v>0</v>
      </c>
      <c r="J73" s="71">
        <v>0</v>
      </c>
      <c r="K73" s="71">
        <v>0</v>
      </c>
      <c r="L73" s="96">
        <f t="shared" si="1"/>
        <v>491727.54577927204</v>
      </c>
      <c r="M73" s="96">
        <v>0</v>
      </c>
      <c r="N73" s="96">
        <f t="shared" si="2"/>
        <v>491727.54577927204</v>
      </c>
      <c r="O73" s="96">
        <f t="shared" si="3"/>
        <v>983455.09155854408</v>
      </c>
      <c r="P73" s="96">
        <f t="shared" si="19"/>
        <v>0</v>
      </c>
      <c r="Q73" s="97">
        <f t="shared" si="5"/>
        <v>-0.27969163735251007</v>
      </c>
      <c r="R73" s="97">
        <f t="shared" si="6"/>
        <v>0</v>
      </c>
      <c r="S73" s="71">
        <f t="shared" si="7"/>
        <v>0</v>
      </c>
      <c r="T73" s="98">
        <f t="shared" si="8"/>
        <v>0</v>
      </c>
      <c r="U73" s="99">
        <f t="shared" si="9"/>
        <v>0</v>
      </c>
      <c r="V73" s="93" t="str">
        <f t="shared" si="10"/>
        <v>SI</v>
      </c>
      <c r="W73" s="95">
        <f t="shared" si="11"/>
        <v>-983.45509155854404</v>
      </c>
      <c r="X73" s="95">
        <f t="shared" si="12"/>
        <v>0</v>
      </c>
      <c r="Y73" s="95">
        <f t="shared" si="13"/>
        <v>0</v>
      </c>
      <c r="Z73" s="95">
        <f t="shared" si="14"/>
        <v>983.45509155854404</v>
      </c>
      <c r="AA73" s="93" t="str">
        <f t="shared" si="15"/>
        <v/>
      </c>
      <c r="AB73" s="100"/>
      <c r="AC73" s="71"/>
      <c r="AD73" s="39"/>
    </row>
    <row r="74" spans="1:30" ht="18.75" x14ac:dyDescent="0.25">
      <c r="A74" s="39"/>
      <c r="B74" s="39"/>
      <c r="C74" s="93" t="s">
        <v>107</v>
      </c>
      <c r="D74" s="94">
        <f t="shared" si="20"/>
        <v>6.7500000000000004E-2</v>
      </c>
      <c r="E74" s="94">
        <f t="shared" si="21"/>
        <v>3.6146629213483009E-2</v>
      </c>
      <c r="F74" s="93" t="s">
        <v>107</v>
      </c>
      <c r="G74" s="95">
        <f t="shared" si="18"/>
        <v>-315.69811320754417</v>
      </c>
      <c r="H74" s="71">
        <v>0</v>
      </c>
      <c r="I74" s="71">
        <v>0</v>
      </c>
      <c r="J74" s="71">
        <v>0</v>
      </c>
      <c r="K74" s="71">
        <v>0</v>
      </c>
      <c r="L74" s="96">
        <f t="shared" si="1"/>
        <v>491727.54577927204</v>
      </c>
      <c r="M74" s="96">
        <v>0</v>
      </c>
      <c r="N74" s="96">
        <f t="shared" si="2"/>
        <v>491727.54577927204</v>
      </c>
      <c r="O74" s="96">
        <f t="shared" si="3"/>
        <v>983455.09155854408</v>
      </c>
      <c r="P74" s="96">
        <f t="shared" si="19"/>
        <v>0</v>
      </c>
      <c r="Q74" s="97">
        <f t="shared" si="5"/>
        <v>-0.27969163735251007</v>
      </c>
      <c r="R74" s="97">
        <f t="shared" si="6"/>
        <v>0</v>
      </c>
      <c r="S74" s="71">
        <f t="shared" si="7"/>
        <v>0</v>
      </c>
      <c r="T74" s="98">
        <f t="shared" si="8"/>
        <v>0</v>
      </c>
      <c r="U74" s="99">
        <f t="shared" si="9"/>
        <v>0</v>
      </c>
      <c r="V74" s="93" t="str">
        <f t="shared" si="10"/>
        <v>SI</v>
      </c>
      <c r="W74" s="95">
        <f t="shared" si="11"/>
        <v>-983.45509155854404</v>
      </c>
      <c r="X74" s="95">
        <f t="shared" si="12"/>
        <v>0</v>
      </c>
      <c r="Y74" s="95">
        <f t="shared" si="13"/>
        <v>0</v>
      </c>
      <c r="Z74" s="95">
        <f t="shared" si="14"/>
        <v>983.45509155854404</v>
      </c>
      <c r="AA74" s="93" t="str">
        <f t="shared" si="15"/>
        <v/>
      </c>
      <c r="AB74" s="100"/>
      <c r="AC74" s="71"/>
      <c r="AD74" s="39"/>
    </row>
    <row r="75" spans="1:30" ht="18.75" x14ac:dyDescent="0.25">
      <c r="A75" s="39"/>
      <c r="B75" s="39"/>
      <c r="C75" s="93" t="s">
        <v>107</v>
      </c>
      <c r="D75" s="94">
        <f t="shared" si="20"/>
        <v>6.7500000000000004E-2</v>
      </c>
      <c r="E75" s="94">
        <f t="shared" si="21"/>
        <v>3.5555056179775141E-2</v>
      </c>
      <c r="F75" s="93" t="s">
        <v>107</v>
      </c>
      <c r="G75" s="95">
        <f t="shared" si="18"/>
        <v>-303.25925925925634</v>
      </c>
      <c r="H75" s="71">
        <v>0</v>
      </c>
      <c r="I75" s="71">
        <v>0</v>
      </c>
      <c r="J75" s="71">
        <v>0</v>
      </c>
      <c r="K75" s="71">
        <v>0</v>
      </c>
      <c r="L75" s="96">
        <f t="shared" si="1"/>
        <v>491727.54577927204</v>
      </c>
      <c r="M75" s="96">
        <v>0</v>
      </c>
      <c r="N75" s="96">
        <f t="shared" si="2"/>
        <v>491727.54577927204</v>
      </c>
      <c r="O75" s="96">
        <f t="shared" si="3"/>
        <v>983455.09155854408</v>
      </c>
      <c r="P75" s="96">
        <f t="shared" si="19"/>
        <v>0</v>
      </c>
      <c r="Q75" s="97">
        <f t="shared" si="5"/>
        <v>-0.27969163735251007</v>
      </c>
      <c r="R75" s="97">
        <f t="shared" si="6"/>
        <v>0</v>
      </c>
      <c r="S75" s="71">
        <f t="shared" si="7"/>
        <v>0</v>
      </c>
      <c r="T75" s="98">
        <f t="shared" si="8"/>
        <v>0</v>
      </c>
      <c r="U75" s="99">
        <f t="shared" si="9"/>
        <v>0</v>
      </c>
      <c r="V75" s="93" t="str">
        <f t="shared" si="10"/>
        <v>SI</v>
      </c>
      <c r="W75" s="95">
        <f t="shared" si="11"/>
        <v>-983.45509155854404</v>
      </c>
      <c r="X75" s="95">
        <f t="shared" si="12"/>
        <v>0</v>
      </c>
      <c r="Y75" s="95">
        <f t="shared" si="13"/>
        <v>0</v>
      </c>
      <c r="Z75" s="95">
        <f t="shared" si="14"/>
        <v>983.45509155854404</v>
      </c>
      <c r="AA75" s="93" t="str">
        <f t="shared" si="15"/>
        <v/>
      </c>
      <c r="AB75" s="100"/>
      <c r="AC75" s="71"/>
      <c r="AD75" s="39"/>
    </row>
    <row r="76" spans="1:30" ht="18.75" x14ac:dyDescent="0.25">
      <c r="A76" s="39"/>
      <c r="B76" s="39"/>
      <c r="C76" s="93" t="s">
        <v>107</v>
      </c>
      <c r="D76" s="94">
        <f t="shared" si="20"/>
        <v>6.7500000000000004E-2</v>
      </c>
      <c r="E76" s="94">
        <f t="shared" si="21"/>
        <v>3.4963483146067273E-2</v>
      </c>
      <c r="F76" s="93" t="s">
        <v>107</v>
      </c>
      <c r="G76" s="95">
        <f t="shared" si="18"/>
        <v>-291.27272727272435</v>
      </c>
      <c r="H76" s="71">
        <v>0</v>
      </c>
      <c r="I76" s="71">
        <v>0</v>
      </c>
      <c r="J76" s="71">
        <v>0</v>
      </c>
      <c r="K76" s="71">
        <v>0</v>
      </c>
      <c r="L76" s="96">
        <f t="shared" si="1"/>
        <v>491727.54577927204</v>
      </c>
      <c r="M76" s="96">
        <v>0</v>
      </c>
      <c r="N76" s="96">
        <f t="shared" si="2"/>
        <v>491727.54577927204</v>
      </c>
      <c r="O76" s="96">
        <f t="shared" si="3"/>
        <v>983455.09155854408</v>
      </c>
      <c r="P76" s="96">
        <f t="shared" si="19"/>
        <v>0</v>
      </c>
      <c r="Q76" s="97">
        <f t="shared" si="5"/>
        <v>-0.27969163735251007</v>
      </c>
      <c r="R76" s="97">
        <f t="shared" si="6"/>
        <v>0</v>
      </c>
      <c r="S76" s="71">
        <f t="shared" si="7"/>
        <v>0</v>
      </c>
      <c r="T76" s="98">
        <f t="shared" si="8"/>
        <v>0</v>
      </c>
      <c r="U76" s="99">
        <f t="shared" si="9"/>
        <v>0</v>
      </c>
      <c r="V76" s="93" t="str">
        <f t="shared" si="10"/>
        <v>SI</v>
      </c>
      <c r="W76" s="95">
        <f t="shared" si="11"/>
        <v>-983.45509155854404</v>
      </c>
      <c r="X76" s="95">
        <f t="shared" si="12"/>
        <v>0</v>
      </c>
      <c r="Y76" s="95">
        <f t="shared" si="13"/>
        <v>0</v>
      </c>
      <c r="Z76" s="95">
        <f t="shared" si="14"/>
        <v>983.45509155854404</v>
      </c>
      <c r="AA76" s="93" t="str">
        <f t="shared" si="15"/>
        <v/>
      </c>
      <c r="AB76" s="100"/>
      <c r="AC76" s="71"/>
      <c r="AD76" s="39"/>
    </row>
    <row r="77" spans="1:30" ht="18.75" x14ac:dyDescent="0.25">
      <c r="A77" s="39"/>
      <c r="B77" s="39"/>
      <c r="C77" s="93" t="s">
        <v>107</v>
      </c>
      <c r="D77" s="94">
        <f t="shared" si="20"/>
        <v>6.7500000000000004E-2</v>
      </c>
      <c r="E77" s="94">
        <f t="shared" si="21"/>
        <v>3.4371910112359405E-2</v>
      </c>
      <c r="F77" s="93" t="s">
        <v>107</v>
      </c>
      <c r="G77" s="95">
        <f t="shared" si="18"/>
        <v>-279.71428571428288</v>
      </c>
      <c r="H77" s="71">
        <v>0</v>
      </c>
      <c r="I77" s="71">
        <v>0</v>
      </c>
      <c r="J77" s="71">
        <v>0</v>
      </c>
      <c r="K77" s="71">
        <v>0</v>
      </c>
      <c r="L77" s="96">
        <f t="shared" si="1"/>
        <v>491727.54577927204</v>
      </c>
      <c r="M77" s="96">
        <v>0</v>
      </c>
      <c r="N77" s="96">
        <f t="shared" si="2"/>
        <v>491727.54577927204</v>
      </c>
      <c r="O77" s="96">
        <f t="shared" si="3"/>
        <v>983455.09155854408</v>
      </c>
      <c r="P77" s="96">
        <f t="shared" si="19"/>
        <v>0</v>
      </c>
      <c r="Q77" s="97">
        <f t="shared" si="5"/>
        <v>-0.27969163735251007</v>
      </c>
      <c r="R77" s="97">
        <f t="shared" si="6"/>
        <v>0</v>
      </c>
      <c r="S77" s="71">
        <f t="shared" si="7"/>
        <v>0</v>
      </c>
      <c r="T77" s="98">
        <f t="shared" si="8"/>
        <v>0</v>
      </c>
      <c r="U77" s="99">
        <f t="shared" si="9"/>
        <v>0</v>
      </c>
      <c r="V77" s="93" t="str">
        <f t="shared" si="10"/>
        <v>SI</v>
      </c>
      <c r="W77" s="95">
        <f t="shared" si="11"/>
        <v>-983.45509155854404</v>
      </c>
      <c r="X77" s="95">
        <f t="shared" si="12"/>
        <v>0</v>
      </c>
      <c r="Y77" s="95">
        <f t="shared" si="13"/>
        <v>0</v>
      </c>
      <c r="Z77" s="95">
        <f t="shared" si="14"/>
        <v>983.45509155854404</v>
      </c>
      <c r="AA77" s="93" t="str">
        <f t="shared" si="15"/>
        <v/>
      </c>
      <c r="AB77" s="100"/>
      <c r="AC77" s="71"/>
      <c r="AD77" s="39"/>
    </row>
    <row r="78" spans="1:30" ht="18.75" x14ac:dyDescent="0.25">
      <c r="A78" s="39"/>
      <c r="B78" s="39"/>
      <c r="C78" s="93" t="s">
        <v>107</v>
      </c>
      <c r="D78" s="94">
        <f t="shared" si="20"/>
        <v>6.7500000000000004E-2</v>
      </c>
      <c r="E78" s="94">
        <f t="shared" si="21"/>
        <v>3.3780337078651537E-2</v>
      </c>
      <c r="F78" s="93" t="s">
        <v>107</v>
      </c>
      <c r="G78" s="95">
        <f t="shared" si="18"/>
        <v>-268.5614035087691</v>
      </c>
      <c r="H78" s="71">
        <v>0</v>
      </c>
      <c r="I78" s="71">
        <v>0</v>
      </c>
      <c r="J78" s="71">
        <v>0</v>
      </c>
      <c r="K78" s="71">
        <v>0</v>
      </c>
      <c r="L78" s="96">
        <f t="shared" si="1"/>
        <v>491727.54577927204</v>
      </c>
      <c r="M78" s="96">
        <v>0</v>
      </c>
      <c r="N78" s="96">
        <f t="shared" si="2"/>
        <v>491727.54577927204</v>
      </c>
      <c r="O78" s="96">
        <f t="shared" si="3"/>
        <v>983455.09155854408</v>
      </c>
      <c r="P78" s="96">
        <f t="shared" si="19"/>
        <v>0</v>
      </c>
      <c r="Q78" s="97">
        <f t="shared" si="5"/>
        <v>-0.27969163735251007</v>
      </c>
      <c r="R78" s="97">
        <f t="shared" si="6"/>
        <v>0</v>
      </c>
      <c r="S78" s="71">
        <f t="shared" si="7"/>
        <v>0</v>
      </c>
      <c r="T78" s="98">
        <f t="shared" si="8"/>
        <v>0</v>
      </c>
      <c r="U78" s="99">
        <f t="shared" si="9"/>
        <v>0</v>
      </c>
      <c r="V78" s="93" t="str">
        <f t="shared" si="10"/>
        <v>SI</v>
      </c>
      <c r="W78" s="95">
        <f t="shared" si="11"/>
        <v>-983.45509155854404</v>
      </c>
      <c r="X78" s="95">
        <f t="shared" si="12"/>
        <v>0</v>
      </c>
      <c r="Y78" s="95">
        <f t="shared" si="13"/>
        <v>0</v>
      </c>
      <c r="Z78" s="95">
        <f t="shared" si="14"/>
        <v>983.45509155854404</v>
      </c>
      <c r="AA78" s="93" t="str">
        <f t="shared" si="15"/>
        <v/>
      </c>
      <c r="AB78" s="100"/>
      <c r="AC78" s="71"/>
      <c r="AD78" s="39"/>
    </row>
    <row r="79" spans="1:30" ht="18.75" x14ac:dyDescent="0.25">
      <c r="A79" s="39"/>
      <c r="B79" s="39"/>
      <c r="C79" s="93" t="s">
        <v>107</v>
      </c>
      <c r="D79" s="94">
        <f t="shared" si="20"/>
        <v>6.7500000000000004E-2</v>
      </c>
      <c r="E79" s="94">
        <f t="shared" si="21"/>
        <v>3.3188764044943669E-2</v>
      </c>
      <c r="F79" s="93" t="s">
        <v>107</v>
      </c>
      <c r="G79" s="95">
        <f t="shared" si="18"/>
        <v>-257.79310344827309</v>
      </c>
      <c r="H79" s="71">
        <v>0</v>
      </c>
      <c r="I79" s="71">
        <v>0</v>
      </c>
      <c r="J79" s="71">
        <v>0</v>
      </c>
      <c r="K79" s="71">
        <v>0</v>
      </c>
      <c r="L79" s="96">
        <f t="shared" si="1"/>
        <v>491727.54577927204</v>
      </c>
      <c r="M79" s="96">
        <v>0</v>
      </c>
      <c r="N79" s="96">
        <f t="shared" si="2"/>
        <v>491727.54577927204</v>
      </c>
      <c r="O79" s="96">
        <f t="shared" si="3"/>
        <v>983455.09155854408</v>
      </c>
      <c r="P79" s="96">
        <f t="shared" si="19"/>
        <v>0</v>
      </c>
      <c r="Q79" s="97">
        <f t="shared" si="5"/>
        <v>-0.27969163735251007</v>
      </c>
      <c r="R79" s="97">
        <f t="shared" si="6"/>
        <v>0</v>
      </c>
      <c r="S79" s="71">
        <f t="shared" si="7"/>
        <v>0</v>
      </c>
      <c r="T79" s="98">
        <f t="shared" si="8"/>
        <v>0</v>
      </c>
      <c r="U79" s="99">
        <f t="shared" si="9"/>
        <v>0</v>
      </c>
      <c r="V79" s="93" t="str">
        <f t="shared" si="10"/>
        <v>SI</v>
      </c>
      <c r="W79" s="95">
        <f t="shared" si="11"/>
        <v>-983.45509155854404</v>
      </c>
      <c r="X79" s="95">
        <f t="shared" si="12"/>
        <v>0</v>
      </c>
      <c r="Y79" s="95">
        <f t="shared" si="13"/>
        <v>0</v>
      </c>
      <c r="Z79" s="95">
        <f t="shared" si="14"/>
        <v>983.45509155854404</v>
      </c>
      <c r="AA79" s="93" t="str">
        <f t="shared" si="15"/>
        <v/>
      </c>
      <c r="AB79" s="100"/>
      <c r="AC79" s="71"/>
      <c r="AD79" s="39"/>
    </row>
    <row r="80" spans="1:30" ht="18.75" x14ac:dyDescent="0.25">
      <c r="A80" s="39"/>
      <c r="B80" s="39"/>
      <c r="C80" s="93" t="s">
        <v>107</v>
      </c>
      <c r="D80" s="94">
        <f t="shared" si="20"/>
        <v>6.7500000000000004E-2</v>
      </c>
      <c r="E80" s="94">
        <f t="shared" si="21"/>
        <v>3.2597191011235802E-2</v>
      </c>
      <c r="F80" s="93" t="s">
        <v>107</v>
      </c>
      <c r="G80" s="95">
        <f t="shared" si="18"/>
        <v>-247.38983050847185</v>
      </c>
      <c r="H80" s="71">
        <v>0</v>
      </c>
      <c r="I80" s="71">
        <v>0</v>
      </c>
      <c r="J80" s="71">
        <v>0</v>
      </c>
      <c r="K80" s="71">
        <v>0</v>
      </c>
      <c r="L80" s="96">
        <f t="shared" si="1"/>
        <v>491727.54577927204</v>
      </c>
      <c r="M80" s="96">
        <v>0</v>
      </c>
      <c r="N80" s="96">
        <f t="shared" si="2"/>
        <v>491727.54577927204</v>
      </c>
      <c r="O80" s="96">
        <f t="shared" si="3"/>
        <v>983455.09155854408</v>
      </c>
      <c r="P80" s="96">
        <f t="shared" si="19"/>
        <v>0</v>
      </c>
      <c r="Q80" s="97">
        <f t="shared" si="5"/>
        <v>-0.27969163735251007</v>
      </c>
      <c r="R80" s="97">
        <f t="shared" si="6"/>
        <v>0</v>
      </c>
      <c r="S80" s="71">
        <f t="shared" si="7"/>
        <v>0</v>
      </c>
      <c r="T80" s="98">
        <f t="shared" si="8"/>
        <v>0</v>
      </c>
      <c r="U80" s="99">
        <f t="shared" si="9"/>
        <v>0</v>
      </c>
      <c r="V80" s="93" t="str">
        <f t="shared" si="10"/>
        <v>SI</v>
      </c>
      <c r="W80" s="95">
        <f t="shared" si="11"/>
        <v>-983.45509155854404</v>
      </c>
      <c r="X80" s="95">
        <f t="shared" si="12"/>
        <v>0</v>
      </c>
      <c r="Y80" s="95">
        <f t="shared" si="13"/>
        <v>0</v>
      </c>
      <c r="Z80" s="95">
        <f t="shared" si="14"/>
        <v>983.45509155854404</v>
      </c>
      <c r="AA80" s="93" t="str">
        <f t="shared" si="15"/>
        <v/>
      </c>
      <c r="AB80" s="100"/>
      <c r="AC80" s="71"/>
      <c r="AD80" s="39"/>
    </row>
    <row r="81" spans="1:30" ht="18.75" x14ac:dyDescent="0.25">
      <c r="A81" s="39"/>
      <c r="B81" s="39"/>
      <c r="C81" s="93" t="s">
        <v>107</v>
      </c>
      <c r="D81" s="94">
        <f t="shared" si="20"/>
        <v>6.7500000000000004E-2</v>
      </c>
      <c r="E81" s="94">
        <f t="shared" si="21"/>
        <v>3.2005617977527934E-2</v>
      </c>
      <c r="F81" s="93" t="s">
        <v>107</v>
      </c>
      <c r="G81" s="95">
        <f t="shared" si="18"/>
        <v>-237.3333333333307</v>
      </c>
      <c r="H81" s="71">
        <v>0</v>
      </c>
      <c r="I81" s="71">
        <v>0</v>
      </c>
      <c r="J81" s="71">
        <v>0</v>
      </c>
      <c r="K81" s="71">
        <v>0</v>
      </c>
      <c r="L81" s="96">
        <f t="shared" si="1"/>
        <v>491727.54577927204</v>
      </c>
      <c r="M81" s="96">
        <v>0</v>
      </c>
      <c r="N81" s="96">
        <f t="shared" si="2"/>
        <v>491727.54577927204</v>
      </c>
      <c r="O81" s="96">
        <f t="shared" si="3"/>
        <v>983455.09155854408</v>
      </c>
      <c r="P81" s="96">
        <f t="shared" si="19"/>
        <v>0</v>
      </c>
      <c r="Q81" s="97">
        <f t="shared" si="5"/>
        <v>-0.27969163735251007</v>
      </c>
      <c r="R81" s="97">
        <f t="shared" si="6"/>
        <v>0</v>
      </c>
      <c r="S81" s="71">
        <f t="shared" si="7"/>
        <v>0</v>
      </c>
      <c r="T81" s="98">
        <f t="shared" si="8"/>
        <v>0</v>
      </c>
      <c r="U81" s="99">
        <f t="shared" si="9"/>
        <v>0</v>
      </c>
      <c r="V81" s="93" t="str">
        <f t="shared" si="10"/>
        <v>SI</v>
      </c>
      <c r="W81" s="95">
        <f t="shared" si="11"/>
        <v>-983.45509155854404</v>
      </c>
      <c r="X81" s="95">
        <f t="shared" si="12"/>
        <v>0</v>
      </c>
      <c r="Y81" s="95">
        <f t="shared" si="13"/>
        <v>0</v>
      </c>
      <c r="Z81" s="95">
        <f t="shared" si="14"/>
        <v>983.45509155854404</v>
      </c>
      <c r="AA81" s="93" t="str">
        <f t="shared" si="15"/>
        <v/>
      </c>
      <c r="AB81" s="100"/>
      <c r="AC81" s="71"/>
      <c r="AD81" s="39"/>
    </row>
    <row r="82" spans="1:30" ht="18.75" x14ac:dyDescent="0.25">
      <c r="A82" s="39"/>
      <c r="B82" s="39"/>
      <c r="C82" s="93" t="s">
        <v>107</v>
      </c>
      <c r="D82" s="94">
        <f t="shared" si="20"/>
        <v>6.7500000000000004E-2</v>
      </c>
      <c r="E82" s="94">
        <f t="shared" si="21"/>
        <v>3.1414044943820066E-2</v>
      </c>
      <c r="F82" s="93" t="s">
        <v>107</v>
      </c>
      <c r="G82" s="95">
        <f t="shared" si="18"/>
        <v>-227.60655737704658</v>
      </c>
      <c r="H82" s="71">
        <v>0</v>
      </c>
      <c r="I82" s="71">
        <v>0</v>
      </c>
      <c r="J82" s="71">
        <v>0</v>
      </c>
      <c r="K82" s="71">
        <v>0</v>
      </c>
      <c r="L82" s="96">
        <f t="shared" si="1"/>
        <v>491727.54577927204</v>
      </c>
      <c r="M82" s="96">
        <v>0</v>
      </c>
      <c r="N82" s="96">
        <f t="shared" si="2"/>
        <v>491727.54577927204</v>
      </c>
      <c r="O82" s="96">
        <f t="shared" si="3"/>
        <v>983455.09155854408</v>
      </c>
      <c r="P82" s="96">
        <f t="shared" si="19"/>
        <v>0</v>
      </c>
      <c r="Q82" s="97">
        <f t="shared" si="5"/>
        <v>-0.27969163735251007</v>
      </c>
      <c r="R82" s="97">
        <f t="shared" si="6"/>
        <v>0</v>
      </c>
      <c r="S82" s="71">
        <f t="shared" si="7"/>
        <v>0</v>
      </c>
      <c r="T82" s="98">
        <f t="shared" si="8"/>
        <v>0</v>
      </c>
      <c r="U82" s="99">
        <f t="shared" si="9"/>
        <v>0</v>
      </c>
      <c r="V82" s="93" t="str">
        <f t="shared" si="10"/>
        <v>SI</v>
      </c>
      <c r="W82" s="95">
        <f t="shared" si="11"/>
        <v>-983.45509155854404</v>
      </c>
      <c r="X82" s="95">
        <f t="shared" si="12"/>
        <v>0</v>
      </c>
      <c r="Y82" s="95">
        <f t="shared" si="13"/>
        <v>0</v>
      </c>
      <c r="Z82" s="95">
        <f t="shared" si="14"/>
        <v>983.45509155854404</v>
      </c>
      <c r="AA82" s="93" t="str">
        <f t="shared" si="15"/>
        <v/>
      </c>
      <c r="AB82" s="100"/>
      <c r="AC82" s="71"/>
      <c r="AD82" s="39"/>
    </row>
    <row r="83" spans="1:30" ht="18.75" x14ac:dyDescent="0.25">
      <c r="A83" s="39"/>
      <c r="B83" s="39"/>
      <c r="C83" s="93" t="s">
        <v>107</v>
      </c>
      <c r="D83" s="94">
        <f t="shared" si="20"/>
        <v>6.7500000000000004E-2</v>
      </c>
      <c r="E83" s="94">
        <f t="shared" si="21"/>
        <v>3.0822471910112201E-2</v>
      </c>
      <c r="F83" s="93" t="s">
        <v>107</v>
      </c>
      <c r="G83" s="95">
        <f t="shared" si="18"/>
        <v>-218.19354838709424</v>
      </c>
      <c r="H83" s="71">
        <v>0</v>
      </c>
      <c r="I83" s="71">
        <v>0</v>
      </c>
      <c r="J83" s="71">
        <v>0</v>
      </c>
      <c r="K83" s="71">
        <v>0</v>
      </c>
      <c r="L83" s="96">
        <f t="shared" si="1"/>
        <v>491727.54577927204</v>
      </c>
      <c r="M83" s="96">
        <v>0</v>
      </c>
      <c r="N83" s="96">
        <f t="shared" si="2"/>
        <v>491727.54577927204</v>
      </c>
      <c r="O83" s="96">
        <f t="shared" si="3"/>
        <v>983455.09155854408</v>
      </c>
      <c r="P83" s="96">
        <f t="shared" si="19"/>
        <v>0</v>
      </c>
      <c r="Q83" s="97">
        <f t="shared" si="5"/>
        <v>-0.27969163735251007</v>
      </c>
      <c r="R83" s="97">
        <f t="shared" si="6"/>
        <v>0</v>
      </c>
      <c r="S83" s="71">
        <f t="shared" si="7"/>
        <v>0</v>
      </c>
      <c r="T83" s="98">
        <f t="shared" si="8"/>
        <v>0</v>
      </c>
      <c r="U83" s="99">
        <f t="shared" si="9"/>
        <v>0</v>
      </c>
      <c r="V83" s="93" t="str">
        <f t="shared" si="10"/>
        <v>SI</v>
      </c>
      <c r="W83" s="95">
        <f t="shared" si="11"/>
        <v>-983.45509155854404</v>
      </c>
      <c r="X83" s="95">
        <f t="shared" si="12"/>
        <v>0</v>
      </c>
      <c r="Y83" s="95">
        <f t="shared" si="13"/>
        <v>0</v>
      </c>
      <c r="Z83" s="95">
        <f t="shared" si="14"/>
        <v>983.45509155854404</v>
      </c>
      <c r="AA83" s="93" t="str">
        <f t="shared" si="15"/>
        <v/>
      </c>
      <c r="AB83" s="100"/>
      <c r="AC83" s="71"/>
      <c r="AD83" s="39"/>
    </row>
    <row r="84" spans="1:30" ht="18.75" x14ac:dyDescent="0.25">
      <c r="A84" s="39"/>
      <c r="B84" s="39"/>
      <c r="C84" s="93" t="s">
        <v>107</v>
      </c>
      <c r="D84" s="94">
        <f t="shared" si="20"/>
        <v>6.7500000000000004E-2</v>
      </c>
      <c r="E84" s="94">
        <f t="shared" si="21"/>
        <v>3.0230898876404337E-2</v>
      </c>
      <c r="F84" s="93" t="s">
        <v>107</v>
      </c>
      <c r="G84" s="95">
        <f t="shared" si="18"/>
        <v>-209.07936507936262</v>
      </c>
      <c r="H84" s="71">
        <v>0</v>
      </c>
      <c r="I84" s="71">
        <v>0</v>
      </c>
      <c r="J84" s="71">
        <v>0</v>
      </c>
      <c r="K84" s="71">
        <v>0</v>
      </c>
      <c r="L84" s="96">
        <f t="shared" si="1"/>
        <v>491727.54577927204</v>
      </c>
      <c r="M84" s="96">
        <v>0</v>
      </c>
      <c r="N84" s="96">
        <f t="shared" si="2"/>
        <v>491727.54577927204</v>
      </c>
      <c r="O84" s="96">
        <f t="shared" si="3"/>
        <v>983455.09155854408</v>
      </c>
      <c r="P84" s="96">
        <f t="shared" si="19"/>
        <v>0</v>
      </c>
      <c r="Q84" s="97">
        <f t="shared" si="5"/>
        <v>-0.27969163735251007</v>
      </c>
      <c r="R84" s="97">
        <f t="shared" si="6"/>
        <v>0</v>
      </c>
      <c r="S84" s="71">
        <f t="shared" si="7"/>
        <v>0</v>
      </c>
      <c r="T84" s="98">
        <f t="shared" si="8"/>
        <v>0</v>
      </c>
      <c r="U84" s="99">
        <f t="shared" si="9"/>
        <v>0</v>
      </c>
      <c r="V84" s="93" t="str">
        <f t="shared" si="10"/>
        <v>SI</v>
      </c>
      <c r="W84" s="95">
        <f t="shared" si="11"/>
        <v>-983.45509155854404</v>
      </c>
      <c r="X84" s="95">
        <f t="shared" si="12"/>
        <v>0</v>
      </c>
      <c r="Y84" s="95">
        <f t="shared" si="13"/>
        <v>0</v>
      </c>
      <c r="Z84" s="95">
        <f t="shared" si="14"/>
        <v>983.45509155854404</v>
      </c>
      <c r="AA84" s="93" t="str">
        <f t="shared" si="15"/>
        <v/>
      </c>
      <c r="AB84" s="100"/>
      <c r="AC84" s="71"/>
      <c r="AD84" s="39"/>
    </row>
    <row r="85" spans="1:30" ht="18.75" x14ac:dyDescent="0.25">
      <c r="A85" s="39"/>
      <c r="B85" s="39"/>
      <c r="C85" s="93" t="s">
        <v>107</v>
      </c>
      <c r="D85" s="94">
        <f t="shared" si="20"/>
        <v>6.7500000000000004E-2</v>
      </c>
      <c r="E85" s="94">
        <f t="shared" si="21"/>
        <v>2.9639325842696473E-2</v>
      </c>
      <c r="F85" s="93" t="s">
        <v>107</v>
      </c>
      <c r="G85" s="95">
        <f t="shared" ref="G85:G121" si="22">(E85*$C$13-D85*$C$10)/(E85-D85)</f>
        <v>-200.24999999999767</v>
      </c>
      <c r="H85" s="71">
        <v>0</v>
      </c>
      <c r="I85" s="71">
        <v>0</v>
      </c>
      <c r="J85" s="71">
        <v>0</v>
      </c>
      <c r="K85" s="71">
        <v>0</v>
      </c>
      <c r="L85" s="96">
        <f t="shared" ref="L85:L148" si="23">IF(E85&gt;=($M$10*10^-3),$M$14*$Q$12,IF(E85&gt;=(-$M$10*10^-3),$M$16*E85*$Q$12,-$M$14*$Q$12))</f>
        <v>491727.54577927204</v>
      </c>
      <c r="M85" s="96">
        <v>0</v>
      </c>
      <c r="N85" s="96">
        <f t="shared" ref="N85:N148" si="24">IF(D85&gt;=($M$10*10^-3),$M$14*$Q$11,IF(D85&gt;=(-$M$10*10^-3),$Q$11*$M$16*D85,-$M$14*$Q$11))</f>
        <v>491727.54577927204</v>
      </c>
      <c r="O85" s="96">
        <f t="shared" ref="O85:O148" si="25">L85+M85+N85</f>
        <v>983455.09155854408</v>
      </c>
      <c r="P85" s="96">
        <f t="shared" ref="P85:P121" si="26">-L85*($C$13/2)+N85*($C$13/2)</f>
        <v>0</v>
      </c>
      <c r="Q85" s="97">
        <f t="shared" ref="Q85:Q148" si="27">-O85/($C$6*$C$13*$I$10*$I$16)</f>
        <v>-0.27969163735251007</v>
      </c>
      <c r="R85" s="97">
        <f t="shared" ref="R85:R148" si="28">P85/($C$6*$C$13^2*$I$10)</f>
        <v>0</v>
      </c>
      <c r="S85" s="71">
        <f t="shared" ref="S85:S148" si="29">-1*R85</f>
        <v>0</v>
      </c>
      <c r="T85" s="98">
        <f t="shared" ref="T85:T148" si="30">P85/O85</f>
        <v>0</v>
      </c>
      <c r="U85" s="99">
        <f t="shared" ref="U85:U148" si="31">T85/$C$13</f>
        <v>0</v>
      </c>
      <c r="V85" s="93" t="str">
        <f t="shared" ref="V85:V148" si="32">IF(T85&gt;=0, IF(T85&lt;=$C$8/6, "SI", "NO"),IF(T85&gt; -$C$8/6, "SI", "NO"))</f>
        <v>SI</v>
      </c>
      <c r="W85" s="95">
        <f t="shared" ref="W85:W148" si="33">-O85/10^3</f>
        <v>-983.45509155854404</v>
      </c>
      <c r="X85" s="95">
        <f t="shared" ref="X85:X148" si="34">P85/10^6</f>
        <v>0</v>
      </c>
      <c r="Y85" s="95">
        <f t="shared" ref="Y85:Y148" si="35">-P85/10^6</f>
        <v>0</v>
      </c>
      <c r="Z85" s="95">
        <f t="shared" ref="Z85:Z148" si="36">(L85+N85)/10^3</f>
        <v>983.45509155854404</v>
      </c>
      <c r="AA85" s="93" t="str">
        <f t="shared" ref="AA85:AA148" si="37">IF(Z85&lt;1,IF(Z85&gt;-1,"ROTTURA BILANCIATA",""),"")</f>
        <v/>
      </c>
      <c r="AB85" s="100"/>
      <c r="AC85" s="71"/>
      <c r="AD85" s="39"/>
    </row>
    <row r="86" spans="1:30" ht="18.75" x14ac:dyDescent="0.25">
      <c r="A86" s="39"/>
      <c r="B86" s="39"/>
      <c r="C86" s="93" t="s">
        <v>107</v>
      </c>
      <c r="D86" s="94">
        <f t="shared" ref="D86:D117" si="38">$M$8*10^-3</f>
        <v>6.7500000000000004E-2</v>
      </c>
      <c r="E86" s="94">
        <f t="shared" ref="E86:E117" si="39">E85-(D86-($C$10/$C$13*D86))/100</f>
        <v>2.9047752808988608E-2</v>
      </c>
      <c r="F86" s="93" t="s">
        <v>107</v>
      </c>
      <c r="G86" s="95">
        <f t="shared" si="22"/>
        <v>-191.69230769230543</v>
      </c>
      <c r="H86" s="71">
        <v>0</v>
      </c>
      <c r="I86" s="71">
        <v>0</v>
      </c>
      <c r="J86" s="71">
        <v>0</v>
      </c>
      <c r="K86" s="71">
        <v>0</v>
      </c>
      <c r="L86" s="96">
        <f t="shared" si="23"/>
        <v>491727.54577927204</v>
      </c>
      <c r="M86" s="96">
        <v>0</v>
      </c>
      <c r="N86" s="96">
        <f t="shared" si="24"/>
        <v>491727.54577927204</v>
      </c>
      <c r="O86" s="96">
        <f t="shared" si="25"/>
        <v>983455.09155854408</v>
      </c>
      <c r="P86" s="96">
        <f t="shared" si="26"/>
        <v>0</v>
      </c>
      <c r="Q86" s="97">
        <f t="shared" si="27"/>
        <v>-0.27969163735251007</v>
      </c>
      <c r="R86" s="97">
        <f t="shared" si="28"/>
        <v>0</v>
      </c>
      <c r="S86" s="71">
        <f t="shared" si="29"/>
        <v>0</v>
      </c>
      <c r="T86" s="98">
        <f t="shared" si="30"/>
        <v>0</v>
      </c>
      <c r="U86" s="99">
        <f t="shared" si="31"/>
        <v>0</v>
      </c>
      <c r="V86" s="93" t="str">
        <f t="shared" si="32"/>
        <v>SI</v>
      </c>
      <c r="W86" s="95">
        <f t="shared" si="33"/>
        <v>-983.45509155854404</v>
      </c>
      <c r="X86" s="95">
        <f t="shared" si="34"/>
        <v>0</v>
      </c>
      <c r="Y86" s="95">
        <f t="shared" si="35"/>
        <v>0</v>
      </c>
      <c r="Z86" s="95">
        <f t="shared" si="36"/>
        <v>983.45509155854404</v>
      </c>
      <c r="AA86" s="93" t="str">
        <f t="shared" si="37"/>
        <v/>
      </c>
      <c r="AB86" s="100"/>
      <c r="AC86" s="71"/>
      <c r="AD86" s="39"/>
    </row>
    <row r="87" spans="1:30" ht="18.75" x14ac:dyDescent="0.25">
      <c r="A87" s="39"/>
      <c r="B87" s="39"/>
      <c r="C87" s="93" t="s">
        <v>107</v>
      </c>
      <c r="D87" s="94">
        <f t="shared" si="38"/>
        <v>6.7500000000000004E-2</v>
      </c>
      <c r="E87" s="94">
        <f t="shared" si="39"/>
        <v>2.8456179775280744E-2</v>
      </c>
      <c r="F87" s="93" t="s">
        <v>107</v>
      </c>
      <c r="G87" s="95">
        <f t="shared" si="22"/>
        <v>-183.39393939393719</v>
      </c>
      <c r="H87" s="71">
        <v>0</v>
      </c>
      <c r="I87" s="71">
        <v>0</v>
      </c>
      <c r="J87" s="71">
        <v>0</v>
      </c>
      <c r="K87" s="71">
        <v>0</v>
      </c>
      <c r="L87" s="96">
        <f t="shared" si="23"/>
        <v>491727.54577927204</v>
      </c>
      <c r="M87" s="96">
        <v>0</v>
      </c>
      <c r="N87" s="96">
        <f t="shared" si="24"/>
        <v>491727.54577927204</v>
      </c>
      <c r="O87" s="96">
        <f t="shared" si="25"/>
        <v>983455.09155854408</v>
      </c>
      <c r="P87" s="96">
        <f t="shared" si="26"/>
        <v>0</v>
      </c>
      <c r="Q87" s="97">
        <f t="shared" si="27"/>
        <v>-0.27969163735251007</v>
      </c>
      <c r="R87" s="97">
        <f t="shared" si="28"/>
        <v>0</v>
      </c>
      <c r="S87" s="71">
        <f t="shared" si="29"/>
        <v>0</v>
      </c>
      <c r="T87" s="98">
        <f t="shared" si="30"/>
        <v>0</v>
      </c>
      <c r="U87" s="99">
        <f t="shared" si="31"/>
        <v>0</v>
      </c>
      <c r="V87" s="93" t="str">
        <f t="shared" si="32"/>
        <v>SI</v>
      </c>
      <c r="W87" s="95">
        <f t="shared" si="33"/>
        <v>-983.45509155854404</v>
      </c>
      <c r="X87" s="95">
        <f t="shared" si="34"/>
        <v>0</v>
      </c>
      <c r="Y87" s="95">
        <f t="shared" si="35"/>
        <v>0</v>
      </c>
      <c r="Z87" s="95">
        <f t="shared" si="36"/>
        <v>983.45509155854404</v>
      </c>
      <c r="AA87" s="93" t="str">
        <f t="shared" si="37"/>
        <v/>
      </c>
      <c r="AB87" s="100"/>
      <c r="AC87" s="71"/>
      <c r="AD87" s="39"/>
    </row>
    <row r="88" spans="1:30" ht="18.75" x14ac:dyDescent="0.25">
      <c r="A88" s="39"/>
      <c r="B88" s="39"/>
      <c r="C88" s="93" t="s">
        <v>107</v>
      </c>
      <c r="D88" s="94">
        <f t="shared" si="38"/>
        <v>6.7500000000000004E-2</v>
      </c>
      <c r="E88" s="94">
        <f t="shared" si="39"/>
        <v>2.786460674157288E-2</v>
      </c>
      <c r="F88" s="93" t="s">
        <v>107</v>
      </c>
      <c r="G88" s="95">
        <f t="shared" si="22"/>
        <v>-175.34328358208745</v>
      </c>
      <c r="H88" s="71">
        <v>0</v>
      </c>
      <c r="I88" s="71">
        <v>0</v>
      </c>
      <c r="J88" s="71">
        <v>0</v>
      </c>
      <c r="K88" s="71">
        <v>0</v>
      </c>
      <c r="L88" s="96">
        <f t="shared" si="23"/>
        <v>491727.54577927204</v>
      </c>
      <c r="M88" s="96">
        <v>0</v>
      </c>
      <c r="N88" s="96">
        <f t="shared" si="24"/>
        <v>491727.54577927204</v>
      </c>
      <c r="O88" s="96">
        <f t="shared" si="25"/>
        <v>983455.09155854408</v>
      </c>
      <c r="P88" s="96">
        <f t="shared" si="26"/>
        <v>0</v>
      </c>
      <c r="Q88" s="97">
        <f t="shared" si="27"/>
        <v>-0.27969163735251007</v>
      </c>
      <c r="R88" s="97">
        <f t="shared" si="28"/>
        <v>0</v>
      </c>
      <c r="S88" s="71">
        <f t="shared" si="29"/>
        <v>0</v>
      </c>
      <c r="T88" s="98">
        <f t="shared" si="30"/>
        <v>0</v>
      </c>
      <c r="U88" s="99">
        <f t="shared" si="31"/>
        <v>0</v>
      </c>
      <c r="V88" s="93" t="str">
        <f t="shared" si="32"/>
        <v>SI</v>
      </c>
      <c r="W88" s="95">
        <f t="shared" si="33"/>
        <v>-983.45509155854404</v>
      </c>
      <c r="X88" s="95">
        <f t="shared" si="34"/>
        <v>0</v>
      </c>
      <c r="Y88" s="95">
        <f t="shared" si="35"/>
        <v>0</v>
      </c>
      <c r="Z88" s="95">
        <f t="shared" si="36"/>
        <v>983.45509155854404</v>
      </c>
      <c r="AA88" s="93" t="str">
        <f t="shared" si="37"/>
        <v/>
      </c>
      <c r="AB88" s="100"/>
      <c r="AC88" s="71"/>
      <c r="AD88" s="39"/>
    </row>
    <row r="89" spans="1:30" ht="18.75" x14ac:dyDescent="0.25">
      <c r="A89" s="39"/>
      <c r="B89" s="39"/>
      <c r="C89" s="93" t="s">
        <v>107</v>
      </c>
      <c r="D89" s="94">
        <f t="shared" si="38"/>
        <v>6.7500000000000004E-2</v>
      </c>
      <c r="E89" s="94">
        <f t="shared" si="39"/>
        <v>2.7273033707865015E-2</v>
      </c>
      <c r="F89" s="93" t="s">
        <v>107</v>
      </c>
      <c r="G89" s="95">
        <f t="shared" si="22"/>
        <v>-167.52941176470387</v>
      </c>
      <c r="H89" s="71">
        <v>0</v>
      </c>
      <c r="I89" s="71">
        <v>0</v>
      </c>
      <c r="J89" s="71">
        <v>0</v>
      </c>
      <c r="K89" s="71">
        <v>0</v>
      </c>
      <c r="L89" s="96">
        <f t="shared" si="23"/>
        <v>491727.54577927204</v>
      </c>
      <c r="M89" s="96">
        <v>0</v>
      </c>
      <c r="N89" s="96">
        <f t="shared" si="24"/>
        <v>491727.54577927204</v>
      </c>
      <c r="O89" s="96">
        <f t="shared" si="25"/>
        <v>983455.09155854408</v>
      </c>
      <c r="P89" s="96">
        <f t="shared" si="26"/>
        <v>0</v>
      </c>
      <c r="Q89" s="97">
        <f t="shared" si="27"/>
        <v>-0.27969163735251007</v>
      </c>
      <c r="R89" s="97">
        <f t="shared" si="28"/>
        <v>0</v>
      </c>
      <c r="S89" s="71">
        <f t="shared" si="29"/>
        <v>0</v>
      </c>
      <c r="T89" s="98">
        <f t="shared" si="30"/>
        <v>0</v>
      </c>
      <c r="U89" s="99">
        <f t="shared" si="31"/>
        <v>0</v>
      </c>
      <c r="V89" s="93" t="str">
        <f t="shared" si="32"/>
        <v>SI</v>
      </c>
      <c r="W89" s="95">
        <f t="shared" si="33"/>
        <v>-983.45509155854404</v>
      </c>
      <c r="X89" s="95">
        <f t="shared" si="34"/>
        <v>0</v>
      </c>
      <c r="Y89" s="95">
        <f t="shared" si="35"/>
        <v>0</v>
      </c>
      <c r="Z89" s="95">
        <f t="shared" si="36"/>
        <v>983.45509155854404</v>
      </c>
      <c r="AA89" s="93" t="str">
        <f t="shared" si="37"/>
        <v/>
      </c>
      <c r="AB89" s="100"/>
      <c r="AC89" s="71"/>
      <c r="AD89" s="39"/>
    </row>
    <row r="90" spans="1:30" ht="18.75" x14ac:dyDescent="0.25">
      <c r="A90" s="39"/>
      <c r="B90" s="39"/>
      <c r="C90" s="93" t="s">
        <v>107</v>
      </c>
      <c r="D90" s="94">
        <f t="shared" si="38"/>
        <v>6.7500000000000004E-2</v>
      </c>
      <c r="E90" s="94">
        <f t="shared" si="39"/>
        <v>2.6681460674157151E-2</v>
      </c>
      <c r="F90" s="93" t="s">
        <v>107</v>
      </c>
      <c r="G90" s="95">
        <f t="shared" si="22"/>
        <v>-159.94202898550532</v>
      </c>
      <c r="H90" s="71">
        <v>0</v>
      </c>
      <c r="I90" s="71">
        <v>0</v>
      </c>
      <c r="J90" s="71">
        <v>0</v>
      </c>
      <c r="K90" s="71">
        <v>0</v>
      </c>
      <c r="L90" s="96">
        <f t="shared" si="23"/>
        <v>491727.54577927204</v>
      </c>
      <c r="M90" s="96">
        <v>0</v>
      </c>
      <c r="N90" s="96">
        <f t="shared" si="24"/>
        <v>491727.54577927204</v>
      </c>
      <c r="O90" s="96">
        <f t="shared" si="25"/>
        <v>983455.09155854408</v>
      </c>
      <c r="P90" s="96">
        <f t="shared" si="26"/>
        <v>0</v>
      </c>
      <c r="Q90" s="97">
        <f t="shared" si="27"/>
        <v>-0.27969163735251007</v>
      </c>
      <c r="R90" s="97">
        <f t="shared" si="28"/>
        <v>0</v>
      </c>
      <c r="S90" s="71">
        <f t="shared" si="29"/>
        <v>0</v>
      </c>
      <c r="T90" s="98">
        <f t="shared" si="30"/>
        <v>0</v>
      </c>
      <c r="U90" s="99">
        <f t="shared" si="31"/>
        <v>0</v>
      </c>
      <c r="V90" s="93" t="str">
        <f t="shared" si="32"/>
        <v>SI</v>
      </c>
      <c r="W90" s="95">
        <f t="shared" si="33"/>
        <v>-983.45509155854404</v>
      </c>
      <c r="X90" s="95">
        <f t="shared" si="34"/>
        <v>0</v>
      </c>
      <c r="Y90" s="95">
        <f t="shared" si="35"/>
        <v>0</v>
      </c>
      <c r="Z90" s="95">
        <f t="shared" si="36"/>
        <v>983.45509155854404</v>
      </c>
      <c r="AA90" s="93" t="str">
        <f t="shared" si="37"/>
        <v/>
      </c>
      <c r="AB90" s="100"/>
      <c r="AC90" s="71"/>
      <c r="AD90" s="39"/>
    </row>
    <row r="91" spans="1:30" ht="18.75" x14ac:dyDescent="0.25">
      <c r="A91" s="39"/>
      <c r="B91" s="39"/>
      <c r="C91" s="93" t="s">
        <v>107</v>
      </c>
      <c r="D91" s="94">
        <f t="shared" si="38"/>
        <v>6.7500000000000004E-2</v>
      </c>
      <c r="E91" s="94">
        <f t="shared" si="39"/>
        <v>2.6089887640449286E-2</v>
      </c>
      <c r="F91" s="93" t="s">
        <v>107</v>
      </c>
      <c r="G91" s="95">
        <f t="shared" si="22"/>
        <v>-152.57142857142665</v>
      </c>
      <c r="H91" s="71">
        <v>0</v>
      </c>
      <c r="I91" s="71">
        <v>0</v>
      </c>
      <c r="J91" s="71">
        <v>0</v>
      </c>
      <c r="K91" s="71">
        <v>0</v>
      </c>
      <c r="L91" s="96">
        <f t="shared" si="23"/>
        <v>491727.54577927204</v>
      </c>
      <c r="M91" s="96">
        <v>0</v>
      </c>
      <c r="N91" s="96">
        <f t="shared" si="24"/>
        <v>491727.54577927204</v>
      </c>
      <c r="O91" s="96">
        <f t="shared" si="25"/>
        <v>983455.09155854408</v>
      </c>
      <c r="P91" s="96">
        <f t="shared" si="26"/>
        <v>0</v>
      </c>
      <c r="Q91" s="97">
        <f t="shared" si="27"/>
        <v>-0.27969163735251007</v>
      </c>
      <c r="R91" s="97">
        <f t="shared" si="28"/>
        <v>0</v>
      </c>
      <c r="S91" s="71">
        <f t="shared" si="29"/>
        <v>0</v>
      </c>
      <c r="T91" s="98">
        <f t="shared" si="30"/>
        <v>0</v>
      </c>
      <c r="U91" s="99">
        <f t="shared" si="31"/>
        <v>0</v>
      </c>
      <c r="V91" s="93" t="str">
        <f t="shared" si="32"/>
        <v>SI</v>
      </c>
      <c r="W91" s="95">
        <f t="shared" si="33"/>
        <v>-983.45509155854404</v>
      </c>
      <c r="X91" s="95">
        <f t="shared" si="34"/>
        <v>0</v>
      </c>
      <c r="Y91" s="95">
        <f t="shared" si="35"/>
        <v>0</v>
      </c>
      <c r="Z91" s="95">
        <f t="shared" si="36"/>
        <v>983.45509155854404</v>
      </c>
      <c r="AA91" s="93" t="str">
        <f t="shared" si="37"/>
        <v/>
      </c>
      <c r="AB91" s="100"/>
      <c r="AC91" s="71"/>
      <c r="AD91" s="39"/>
    </row>
    <row r="92" spans="1:30" ht="18.75" x14ac:dyDescent="0.25">
      <c r="A92" s="39"/>
      <c r="B92" s="39"/>
      <c r="C92" s="93" t="s">
        <v>107</v>
      </c>
      <c r="D92" s="94">
        <f t="shared" si="38"/>
        <v>6.7500000000000004E-2</v>
      </c>
      <c r="E92" s="94">
        <f t="shared" si="39"/>
        <v>2.5498314606741422E-2</v>
      </c>
      <c r="F92" s="93" t="s">
        <v>107</v>
      </c>
      <c r="G92" s="95">
        <f t="shared" si="22"/>
        <v>-145.4084507042235</v>
      </c>
      <c r="H92" s="71">
        <v>0</v>
      </c>
      <c r="I92" s="71">
        <v>0</v>
      </c>
      <c r="J92" s="71">
        <v>0</v>
      </c>
      <c r="K92" s="71">
        <v>0</v>
      </c>
      <c r="L92" s="96">
        <f t="shared" si="23"/>
        <v>491727.54577927204</v>
      </c>
      <c r="M92" s="96">
        <v>0</v>
      </c>
      <c r="N92" s="96">
        <f t="shared" si="24"/>
        <v>491727.54577927204</v>
      </c>
      <c r="O92" s="96">
        <f t="shared" si="25"/>
        <v>983455.09155854408</v>
      </c>
      <c r="P92" s="96">
        <f t="shared" si="26"/>
        <v>0</v>
      </c>
      <c r="Q92" s="97">
        <f t="shared" si="27"/>
        <v>-0.27969163735251007</v>
      </c>
      <c r="R92" s="97">
        <f t="shared" si="28"/>
        <v>0</v>
      </c>
      <c r="S92" s="71">
        <f t="shared" si="29"/>
        <v>0</v>
      </c>
      <c r="T92" s="98">
        <f t="shared" si="30"/>
        <v>0</v>
      </c>
      <c r="U92" s="99">
        <f t="shared" si="31"/>
        <v>0</v>
      </c>
      <c r="V92" s="93" t="str">
        <f t="shared" si="32"/>
        <v>SI</v>
      </c>
      <c r="W92" s="95">
        <f t="shared" si="33"/>
        <v>-983.45509155854404</v>
      </c>
      <c r="X92" s="95">
        <f t="shared" si="34"/>
        <v>0</v>
      </c>
      <c r="Y92" s="95">
        <f t="shared" si="35"/>
        <v>0</v>
      </c>
      <c r="Z92" s="95">
        <f t="shared" si="36"/>
        <v>983.45509155854404</v>
      </c>
      <c r="AA92" s="93" t="str">
        <f t="shared" si="37"/>
        <v/>
      </c>
      <c r="AB92" s="100"/>
      <c r="AC92" s="71"/>
      <c r="AD92" s="39"/>
    </row>
    <row r="93" spans="1:30" ht="18.75" x14ac:dyDescent="0.25">
      <c r="A93" s="39"/>
      <c r="B93" s="39"/>
      <c r="C93" s="93" t="s">
        <v>107</v>
      </c>
      <c r="D93" s="94">
        <f t="shared" si="38"/>
        <v>6.7500000000000004E-2</v>
      </c>
      <c r="E93" s="94">
        <f t="shared" si="39"/>
        <v>2.4906741573033558E-2</v>
      </c>
      <c r="F93" s="93" t="s">
        <v>107</v>
      </c>
      <c r="G93" s="95">
        <f t="shared" si="22"/>
        <v>-138.44444444444267</v>
      </c>
      <c r="H93" s="71">
        <v>0</v>
      </c>
      <c r="I93" s="71">
        <v>0</v>
      </c>
      <c r="J93" s="71">
        <v>0</v>
      </c>
      <c r="K93" s="71">
        <v>0</v>
      </c>
      <c r="L93" s="96">
        <f t="shared" si="23"/>
        <v>491727.54577927204</v>
      </c>
      <c r="M93" s="96">
        <v>0</v>
      </c>
      <c r="N93" s="96">
        <f t="shared" si="24"/>
        <v>491727.54577927204</v>
      </c>
      <c r="O93" s="96">
        <f t="shared" si="25"/>
        <v>983455.09155854408</v>
      </c>
      <c r="P93" s="96">
        <f t="shared" si="26"/>
        <v>0</v>
      </c>
      <c r="Q93" s="97">
        <f t="shared" si="27"/>
        <v>-0.27969163735251007</v>
      </c>
      <c r="R93" s="97">
        <f t="shared" si="28"/>
        <v>0</v>
      </c>
      <c r="S93" s="71">
        <f t="shared" si="29"/>
        <v>0</v>
      </c>
      <c r="T93" s="98">
        <f t="shared" si="30"/>
        <v>0</v>
      </c>
      <c r="U93" s="99">
        <f t="shared" si="31"/>
        <v>0</v>
      </c>
      <c r="V93" s="93" t="str">
        <f t="shared" si="32"/>
        <v>SI</v>
      </c>
      <c r="W93" s="95">
        <f t="shared" si="33"/>
        <v>-983.45509155854404</v>
      </c>
      <c r="X93" s="95">
        <f t="shared" si="34"/>
        <v>0</v>
      </c>
      <c r="Y93" s="95">
        <f t="shared" si="35"/>
        <v>0</v>
      </c>
      <c r="Z93" s="95">
        <f t="shared" si="36"/>
        <v>983.45509155854404</v>
      </c>
      <c r="AA93" s="93" t="str">
        <f t="shared" si="37"/>
        <v/>
      </c>
      <c r="AB93" s="100"/>
      <c r="AC93" s="71"/>
      <c r="AD93" s="39"/>
    </row>
    <row r="94" spans="1:30" ht="18.75" x14ac:dyDescent="0.25">
      <c r="A94" s="39"/>
      <c r="B94" s="39"/>
      <c r="C94" s="93" t="s">
        <v>107</v>
      </c>
      <c r="D94" s="94">
        <f t="shared" si="38"/>
        <v>6.7500000000000004E-2</v>
      </c>
      <c r="E94" s="94">
        <f t="shared" si="39"/>
        <v>2.4315168539325693E-2</v>
      </c>
      <c r="F94" s="93" t="s">
        <v>107</v>
      </c>
      <c r="G94" s="95">
        <f t="shared" si="22"/>
        <v>-131.6712328767106</v>
      </c>
      <c r="H94" s="71">
        <v>0</v>
      </c>
      <c r="I94" s="71">
        <v>0</v>
      </c>
      <c r="J94" s="71">
        <v>0</v>
      </c>
      <c r="K94" s="71">
        <v>0</v>
      </c>
      <c r="L94" s="96">
        <f t="shared" si="23"/>
        <v>491727.54577927204</v>
      </c>
      <c r="M94" s="96">
        <v>0</v>
      </c>
      <c r="N94" s="96">
        <f t="shared" si="24"/>
        <v>491727.54577927204</v>
      </c>
      <c r="O94" s="96">
        <f t="shared" si="25"/>
        <v>983455.09155854408</v>
      </c>
      <c r="P94" s="96">
        <f t="shared" si="26"/>
        <v>0</v>
      </c>
      <c r="Q94" s="97">
        <f t="shared" si="27"/>
        <v>-0.27969163735251007</v>
      </c>
      <c r="R94" s="97">
        <f t="shared" si="28"/>
        <v>0</v>
      </c>
      <c r="S94" s="71">
        <f t="shared" si="29"/>
        <v>0</v>
      </c>
      <c r="T94" s="98">
        <f t="shared" si="30"/>
        <v>0</v>
      </c>
      <c r="U94" s="99">
        <f t="shared" si="31"/>
        <v>0</v>
      </c>
      <c r="V94" s="93" t="str">
        <f t="shared" si="32"/>
        <v>SI</v>
      </c>
      <c r="W94" s="95">
        <f t="shared" si="33"/>
        <v>-983.45509155854404</v>
      </c>
      <c r="X94" s="95">
        <f t="shared" si="34"/>
        <v>0</v>
      </c>
      <c r="Y94" s="95">
        <f t="shared" si="35"/>
        <v>0</v>
      </c>
      <c r="Z94" s="95">
        <f t="shared" si="36"/>
        <v>983.45509155854404</v>
      </c>
      <c r="AA94" s="93" t="str">
        <f t="shared" si="37"/>
        <v/>
      </c>
      <c r="AB94" s="100"/>
      <c r="AC94" s="71"/>
      <c r="AD94" s="39"/>
    </row>
    <row r="95" spans="1:30" ht="18.75" x14ac:dyDescent="0.25">
      <c r="A95" s="39"/>
      <c r="B95" s="39"/>
      <c r="C95" s="93" t="s">
        <v>107</v>
      </c>
      <c r="D95" s="94">
        <f t="shared" si="38"/>
        <v>6.7500000000000004E-2</v>
      </c>
      <c r="E95" s="94">
        <f t="shared" si="39"/>
        <v>2.3723595505617829E-2</v>
      </c>
      <c r="F95" s="93" t="s">
        <v>107</v>
      </c>
      <c r="G95" s="95">
        <f t="shared" si="22"/>
        <v>-125.08108108107942</v>
      </c>
      <c r="H95" s="71">
        <v>0</v>
      </c>
      <c r="I95" s="71">
        <v>0</v>
      </c>
      <c r="J95" s="71">
        <v>0</v>
      </c>
      <c r="K95" s="71">
        <v>0</v>
      </c>
      <c r="L95" s="96">
        <f t="shared" si="23"/>
        <v>491727.54577927204</v>
      </c>
      <c r="M95" s="96">
        <v>0</v>
      </c>
      <c r="N95" s="96">
        <f t="shared" si="24"/>
        <v>491727.54577927204</v>
      </c>
      <c r="O95" s="96">
        <f t="shared" si="25"/>
        <v>983455.09155854408</v>
      </c>
      <c r="P95" s="96">
        <f t="shared" si="26"/>
        <v>0</v>
      </c>
      <c r="Q95" s="97">
        <f t="shared" si="27"/>
        <v>-0.27969163735251007</v>
      </c>
      <c r="R95" s="97">
        <f t="shared" si="28"/>
        <v>0</v>
      </c>
      <c r="S95" s="71">
        <f t="shared" si="29"/>
        <v>0</v>
      </c>
      <c r="T95" s="98">
        <f t="shared" si="30"/>
        <v>0</v>
      </c>
      <c r="U95" s="99">
        <f t="shared" si="31"/>
        <v>0</v>
      </c>
      <c r="V95" s="93" t="str">
        <f t="shared" si="32"/>
        <v>SI</v>
      </c>
      <c r="W95" s="95">
        <f t="shared" si="33"/>
        <v>-983.45509155854404</v>
      </c>
      <c r="X95" s="95">
        <f t="shared" si="34"/>
        <v>0</v>
      </c>
      <c r="Y95" s="95">
        <f t="shared" si="35"/>
        <v>0</v>
      </c>
      <c r="Z95" s="95">
        <f t="shared" si="36"/>
        <v>983.45509155854404</v>
      </c>
      <c r="AA95" s="93" t="str">
        <f t="shared" si="37"/>
        <v/>
      </c>
      <c r="AB95" s="100"/>
      <c r="AC95" s="71"/>
      <c r="AD95" s="39"/>
    </row>
    <row r="96" spans="1:30" ht="18.75" x14ac:dyDescent="0.25">
      <c r="A96" s="39"/>
      <c r="B96" s="39"/>
      <c r="C96" s="93" t="s">
        <v>107</v>
      </c>
      <c r="D96" s="94">
        <f t="shared" si="38"/>
        <v>6.7500000000000004E-2</v>
      </c>
      <c r="E96" s="94">
        <f t="shared" si="39"/>
        <v>2.3132022471909965E-2</v>
      </c>
      <c r="F96" s="93" t="s">
        <v>107</v>
      </c>
      <c r="G96" s="95">
        <f t="shared" si="22"/>
        <v>-118.66666666666507</v>
      </c>
      <c r="H96" s="71">
        <v>0</v>
      </c>
      <c r="I96" s="71">
        <v>0</v>
      </c>
      <c r="J96" s="71">
        <v>0</v>
      </c>
      <c r="K96" s="71">
        <v>0</v>
      </c>
      <c r="L96" s="96">
        <f t="shared" si="23"/>
        <v>491727.54577927204</v>
      </c>
      <c r="M96" s="96">
        <v>0</v>
      </c>
      <c r="N96" s="96">
        <f t="shared" si="24"/>
        <v>491727.54577927204</v>
      </c>
      <c r="O96" s="96">
        <f t="shared" si="25"/>
        <v>983455.09155854408</v>
      </c>
      <c r="P96" s="96">
        <f t="shared" si="26"/>
        <v>0</v>
      </c>
      <c r="Q96" s="97">
        <f t="shared" si="27"/>
        <v>-0.27969163735251007</v>
      </c>
      <c r="R96" s="97">
        <f t="shared" si="28"/>
        <v>0</v>
      </c>
      <c r="S96" s="71">
        <f t="shared" si="29"/>
        <v>0</v>
      </c>
      <c r="T96" s="98">
        <f t="shared" si="30"/>
        <v>0</v>
      </c>
      <c r="U96" s="99">
        <f t="shared" si="31"/>
        <v>0</v>
      </c>
      <c r="V96" s="93" t="str">
        <f t="shared" si="32"/>
        <v>SI</v>
      </c>
      <c r="W96" s="95">
        <f t="shared" si="33"/>
        <v>-983.45509155854404</v>
      </c>
      <c r="X96" s="95">
        <f t="shared" si="34"/>
        <v>0</v>
      </c>
      <c r="Y96" s="95">
        <f t="shared" si="35"/>
        <v>0</v>
      </c>
      <c r="Z96" s="95">
        <f t="shared" si="36"/>
        <v>983.45509155854404</v>
      </c>
      <c r="AA96" s="93" t="str">
        <f t="shared" si="37"/>
        <v/>
      </c>
      <c r="AB96" s="100"/>
      <c r="AC96" s="71"/>
      <c r="AD96" s="39"/>
    </row>
    <row r="97" spans="1:30" ht="18.75" x14ac:dyDescent="0.25">
      <c r="A97" s="39"/>
      <c r="B97" s="39"/>
      <c r="C97" s="93" t="s">
        <v>107</v>
      </c>
      <c r="D97" s="94">
        <f t="shared" si="38"/>
        <v>6.7500000000000004E-2</v>
      </c>
      <c r="E97" s="94">
        <f t="shared" si="39"/>
        <v>2.25404494382021E-2</v>
      </c>
      <c r="F97" s="93" t="s">
        <v>107</v>
      </c>
      <c r="G97" s="95">
        <f t="shared" si="22"/>
        <v>-112.42105263157741</v>
      </c>
      <c r="H97" s="71">
        <v>0</v>
      </c>
      <c r="I97" s="71">
        <v>0</v>
      </c>
      <c r="J97" s="71">
        <v>0</v>
      </c>
      <c r="K97" s="71">
        <v>0</v>
      </c>
      <c r="L97" s="96">
        <f t="shared" si="23"/>
        <v>491727.54577927204</v>
      </c>
      <c r="M97" s="96">
        <v>0</v>
      </c>
      <c r="N97" s="96">
        <f t="shared" si="24"/>
        <v>491727.54577927204</v>
      </c>
      <c r="O97" s="96">
        <f t="shared" si="25"/>
        <v>983455.09155854408</v>
      </c>
      <c r="P97" s="96">
        <f t="shared" si="26"/>
        <v>0</v>
      </c>
      <c r="Q97" s="97">
        <f t="shared" si="27"/>
        <v>-0.27969163735251007</v>
      </c>
      <c r="R97" s="97">
        <f t="shared" si="28"/>
        <v>0</v>
      </c>
      <c r="S97" s="71">
        <f t="shared" si="29"/>
        <v>0</v>
      </c>
      <c r="T97" s="98">
        <f t="shared" si="30"/>
        <v>0</v>
      </c>
      <c r="U97" s="99">
        <f t="shared" si="31"/>
        <v>0</v>
      </c>
      <c r="V97" s="93" t="str">
        <f t="shared" si="32"/>
        <v>SI</v>
      </c>
      <c r="W97" s="95">
        <f t="shared" si="33"/>
        <v>-983.45509155854404</v>
      </c>
      <c r="X97" s="95">
        <f t="shared" si="34"/>
        <v>0</v>
      </c>
      <c r="Y97" s="95">
        <f t="shared" si="35"/>
        <v>0</v>
      </c>
      <c r="Z97" s="95">
        <f t="shared" si="36"/>
        <v>983.45509155854404</v>
      </c>
      <c r="AA97" s="93" t="str">
        <f t="shared" si="37"/>
        <v/>
      </c>
      <c r="AB97" s="100"/>
      <c r="AC97" s="71"/>
      <c r="AD97" s="39"/>
    </row>
    <row r="98" spans="1:30" ht="18.75" x14ac:dyDescent="0.25">
      <c r="A98" s="39"/>
      <c r="B98" s="39"/>
      <c r="C98" s="93" t="s">
        <v>107</v>
      </c>
      <c r="D98" s="94">
        <f t="shared" si="38"/>
        <v>6.7500000000000004E-2</v>
      </c>
      <c r="E98" s="94">
        <f t="shared" si="39"/>
        <v>2.1948876404494236E-2</v>
      </c>
      <c r="F98" s="93" t="s">
        <v>107</v>
      </c>
      <c r="G98" s="95">
        <f t="shared" si="22"/>
        <v>-106.33766233766086</v>
      </c>
      <c r="H98" s="71">
        <v>0</v>
      </c>
      <c r="I98" s="71">
        <v>0</v>
      </c>
      <c r="J98" s="71">
        <v>0</v>
      </c>
      <c r="K98" s="71">
        <v>0</v>
      </c>
      <c r="L98" s="96">
        <f t="shared" si="23"/>
        <v>491727.54577927204</v>
      </c>
      <c r="M98" s="96">
        <v>0</v>
      </c>
      <c r="N98" s="96">
        <f t="shared" si="24"/>
        <v>491727.54577927204</v>
      </c>
      <c r="O98" s="96">
        <f t="shared" si="25"/>
        <v>983455.09155854408</v>
      </c>
      <c r="P98" s="96">
        <f t="shared" si="26"/>
        <v>0</v>
      </c>
      <c r="Q98" s="97">
        <f t="shared" si="27"/>
        <v>-0.27969163735251007</v>
      </c>
      <c r="R98" s="97">
        <f t="shared" si="28"/>
        <v>0</v>
      </c>
      <c r="S98" s="71">
        <f t="shared" si="29"/>
        <v>0</v>
      </c>
      <c r="T98" s="98">
        <f t="shared" si="30"/>
        <v>0</v>
      </c>
      <c r="U98" s="99">
        <f t="shared" si="31"/>
        <v>0</v>
      </c>
      <c r="V98" s="93" t="str">
        <f t="shared" si="32"/>
        <v>SI</v>
      </c>
      <c r="W98" s="95">
        <f t="shared" si="33"/>
        <v>-983.45509155854404</v>
      </c>
      <c r="X98" s="95">
        <f t="shared" si="34"/>
        <v>0</v>
      </c>
      <c r="Y98" s="95">
        <f t="shared" si="35"/>
        <v>0</v>
      </c>
      <c r="Z98" s="95">
        <f t="shared" si="36"/>
        <v>983.45509155854404</v>
      </c>
      <c r="AA98" s="93" t="str">
        <f t="shared" si="37"/>
        <v/>
      </c>
      <c r="AB98" s="100"/>
      <c r="AC98" s="71"/>
      <c r="AD98" s="39"/>
    </row>
    <row r="99" spans="1:30" ht="18.75" x14ac:dyDescent="0.25">
      <c r="A99" s="39"/>
      <c r="B99" s="39"/>
      <c r="C99" s="93" t="s">
        <v>107</v>
      </c>
      <c r="D99" s="94">
        <f t="shared" si="38"/>
        <v>6.7500000000000004E-2</v>
      </c>
      <c r="E99" s="94">
        <f t="shared" si="39"/>
        <v>2.1357303370786371E-2</v>
      </c>
      <c r="F99" s="93" t="s">
        <v>107</v>
      </c>
      <c r="G99" s="95">
        <f t="shared" si="22"/>
        <v>-100.41025641025497</v>
      </c>
      <c r="H99" s="71">
        <v>0</v>
      </c>
      <c r="I99" s="71">
        <v>0</v>
      </c>
      <c r="J99" s="71">
        <v>0</v>
      </c>
      <c r="K99" s="71">
        <v>0</v>
      </c>
      <c r="L99" s="96">
        <f t="shared" si="23"/>
        <v>491727.54577927204</v>
      </c>
      <c r="M99" s="96">
        <v>0</v>
      </c>
      <c r="N99" s="96">
        <f t="shared" si="24"/>
        <v>491727.54577927204</v>
      </c>
      <c r="O99" s="96">
        <f t="shared" si="25"/>
        <v>983455.09155854408</v>
      </c>
      <c r="P99" s="96">
        <f t="shared" si="26"/>
        <v>0</v>
      </c>
      <c r="Q99" s="97">
        <f t="shared" si="27"/>
        <v>-0.27969163735251007</v>
      </c>
      <c r="R99" s="97">
        <f t="shared" si="28"/>
        <v>0</v>
      </c>
      <c r="S99" s="71">
        <f t="shared" si="29"/>
        <v>0</v>
      </c>
      <c r="T99" s="98">
        <f t="shared" si="30"/>
        <v>0</v>
      </c>
      <c r="U99" s="99">
        <f t="shared" si="31"/>
        <v>0</v>
      </c>
      <c r="V99" s="93" t="str">
        <f t="shared" si="32"/>
        <v>SI</v>
      </c>
      <c r="W99" s="95">
        <f t="shared" si="33"/>
        <v>-983.45509155854404</v>
      </c>
      <c r="X99" s="95">
        <f t="shared" si="34"/>
        <v>0</v>
      </c>
      <c r="Y99" s="95">
        <f t="shared" si="35"/>
        <v>0</v>
      </c>
      <c r="Z99" s="95">
        <f t="shared" si="36"/>
        <v>983.45509155854404</v>
      </c>
      <c r="AA99" s="93" t="str">
        <f t="shared" si="37"/>
        <v/>
      </c>
      <c r="AB99" s="100"/>
      <c r="AC99" s="71"/>
      <c r="AD99" s="39"/>
    </row>
    <row r="100" spans="1:30" ht="18.75" x14ac:dyDescent="0.25">
      <c r="A100" s="39"/>
      <c r="B100" s="39"/>
      <c r="C100" s="93" t="s">
        <v>107</v>
      </c>
      <c r="D100" s="94">
        <f t="shared" si="38"/>
        <v>6.7500000000000004E-2</v>
      </c>
      <c r="E100" s="94">
        <f t="shared" si="39"/>
        <v>2.0765730337078507E-2</v>
      </c>
      <c r="F100" s="93" t="s">
        <v>107</v>
      </c>
      <c r="G100" s="95">
        <f t="shared" si="22"/>
        <v>-94.632911392403642</v>
      </c>
      <c r="H100" s="71">
        <v>0</v>
      </c>
      <c r="I100" s="71">
        <v>0</v>
      </c>
      <c r="J100" s="71">
        <v>0</v>
      </c>
      <c r="K100" s="71">
        <v>0</v>
      </c>
      <c r="L100" s="96">
        <f t="shared" si="23"/>
        <v>491727.54577927204</v>
      </c>
      <c r="M100" s="96">
        <v>0</v>
      </c>
      <c r="N100" s="96">
        <f t="shared" si="24"/>
        <v>491727.54577927204</v>
      </c>
      <c r="O100" s="96">
        <f t="shared" si="25"/>
        <v>983455.09155854408</v>
      </c>
      <c r="P100" s="96">
        <f t="shared" si="26"/>
        <v>0</v>
      </c>
      <c r="Q100" s="97">
        <f t="shared" si="27"/>
        <v>-0.27969163735251007</v>
      </c>
      <c r="R100" s="97">
        <f t="shared" si="28"/>
        <v>0</v>
      </c>
      <c r="S100" s="71">
        <f t="shared" si="29"/>
        <v>0</v>
      </c>
      <c r="T100" s="98">
        <f t="shared" si="30"/>
        <v>0</v>
      </c>
      <c r="U100" s="99">
        <f t="shared" si="31"/>
        <v>0</v>
      </c>
      <c r="V100" s="93" t="str">
        <f t="shared" si="32"/>
        <v>SI</v>
      </c>
      <c r="W100" s="95">
        <f t="shared" si="33"/>
        <v>-983.45509155854404</v>
      </c>
      <c r="X100" s="95">
        <f t="shared" si="34"/>
        <v>0</v>
      </c>
      <c r="Y100" s="95">
        <f t="shared" si="35"/>
        <v>0</v>
      </c>
      <c r="Z100" s="95">
        <f t="shared" si="36"/>
        <v>983.45509155854404</v>
      </c>
      <c r="AA100" s="93" t="str">
        <f t="shared" si="37"/>
        <v/>
      </c>
      <c r="AB100" s="100"/>
      <c r="AC100" s="71"/>
      <c r="AD100" s="39"/>
    </row>
    <row r="101" spans="1:30" ht="18.75" x14ac:dyDescent="0.25">
      <c r="A101" s="39"/>
      <c r="B101" s="39"/>
      <c r="C101" s="93" t="s">
        <v>107</v>
      </c>
      <c r="D101" s="94">
        <f t="shared" si="38"/>
        <v>6.7500000000000004E-2</v>
      </c>
      <c r="E101" s="94">
        <f t="shared" si="39"/>
        <v>2.0174157303370643E-2</v>
      </c>
      <c r="F101" s="93" t="s">
        <v>107</v>
      </c>
      <c r="G101" s="95">
        <f t="shared" si="22"/>
        <v>-88.999999999998636</v>
      </c>
      <c r="H101" s="71">
        <v>0</v>
      </c>
      <c r="I101" s="71">
        <v>0</v>
      </c>
      <c r="J101" s="71">
        <v>0</v>
      </c>
      <c r="K101" s="71">
        <v>0</v>
      </c>
      <c r="L101" s="96">
        <f t="shared" si="23"/>
        <v>491727.54577927204</v>
      </c>
      <c r="M101" s="96">
        <v>0</v>
      </c>
      <c r="N101" s="96">
        <f t="shared" si="24"/>
        <v>491727.54577927204</v>
      </c>
      <c r="O101" s="96">
        <f t="shared" si="25"/>
        <v>983455.09155854408</v>
      </c>
      <c r="P101" s="96">
        <f t="shared" si="26"/>
        <v>0</v>
      </c>
      <c r="Q101" s="97">
        <f t="shared" si="27"/>
        <v>-0.27969163735251007</v>
      </c>
      <c r="R101" s="97">
        <f t="shared" si="28"/>
        <v>0</v>
      </c>
      <c r="S101" s="71">
        <f t="shared" si="29"/>
        <v>0</v>
      </c>
      <c r="T101" s="98">
        <f t="shared" si="30"/>
        <v>0</v>
      </c>
      <c r="U101" s="99">
        <f t="shared" si="31"/>
        <v>0</v>
      </c>
      <c r="V101" s="93" t="str">
        <f t="shared" si="32"/>
        <v>SI</v>
      </c>
      <c r="W101" s="95">
        <f t="shared" si="33"/>
        <v>-983.45509155854404</v>
      </c>
      <c r="X101" s="95">
        <f t="shared" si="34"/>
        <v>0</v>
      </c>
      <c r="Y101" s="95">
        <f t="shared" si="35"/>
        <v>0</v>
      </c>
      <c r="Z101" s="95">
        <f t="shared" si="36"/>
        <v>983.45509155854404</v>
      </c>
      <c r="AA101" s="93" t="str">
        <f t="shared" si="37"/>
        <v/>
      </c>
      <c r="AB101" s="100"/>
      <c r="AC101" s="71"/>
      <c r="AD101" s="39"/>
    </row>
    <row r="102" spans="1:30" ht="18.75" x14ac:dyDescent="0.25">
      <c r="A102" s="39"/>
      <c r="B102" s="39"/>
      <c r="C102" s="93" t="s">
        <v>107</v>
      </c>
      <c r="D102" s="94">
        <f t="shared" si="38"/>
        <v>6.7500000000000004E-2</v>
      </c>
      <c r="E102" s="94">
        <f t="shared" si="39"/>
        <v>1.9582584269662778E-2</v>
      </c>
      <c r="F102" s="93" t="s">
        <v>107</v>
      </c>
      <c r="G102" s="95">
        <f t="shared" si="22"/>
        <v>-83.506172839504842</v>
      </c>
      <c r="H102" s="71">
        <v>0</v>
      </c>
      <c r="I102" s="71">
        <v>0</v>
      </c>
      <c r="J102" s="71">
        <v>0</v>
      </c>
      <c r="K102" s="71">
        <v>0</v>
      </c>
      <c r="L102" s="96">
        <f t="shared" si="23"/>
        <v>491727.54577927204</v>
      </c>
      <c r="M102" s="96">
        <v>0</v>
      </c>
      <c r="N102" s="96">
        <f t="shared" si="24"/>
        <v>491727.54577927204</v>
      </c>
      <c r="O102" s="96">
        <f t="shared" si="25"/>
        <v>983455.09155854408</v>
      </c>
      <c r="P102" s="96">
        <f t="shared" si="26"/>
        <v>0</v>
      </c>
      <c r="Q102" s="97">
        <f t="shared" si="27"/>
        <v>-0.27969163735251007</v>
      </c>
      <c r="R102" s="97">
        <f t="shared" si="28"/>
        <v>0</v>
      </c>
      <c r="S102" s="71">
        <f t="shared" si="29"/>
        <v>0</v>
      </c>
      <c r="T102" s="98">
        <f t="shared" si="30"/>
        <v>0</v>
      </c>
      <c r="U102" s="99">
        <f t="shared" si="31"/>
        <v>0</v>
      </c>
      <c r="V102" s="93" t="str">
        <f t="shared" si="32"/>
        <v>SI</v>
      </c>
      <c r="W102" s="95">
        <f t="shared" si="33"/>
        <v>-983.45509155854404</v>
      </c>
      <c r="X102" s="95">
        <f t="shared" si="34"/>
        <v>0</v>
      </c>
      <c r="Y102" s="95">
        <f t="shared" si="35"/>
        <v>0</v>
      </c>
      <c r="Z102" s="95">
        <f t="shared" si="36"/>
        <v>983.45509155854404</v>
      </c>
      <c r="AA102" s="93" t="str">
        <f t="shared" si="37"/>
        <v/>
      </c>
      <c r="AB102" s="100"/>
      <c r="AC102" s="71"/>
      <c r="AD102" s="39"/>
    </row>
    <row r="103" spans="1:30" ht="18.75" x14ac:dyDescent="0.25">
      <c r="A103" s="39"/>
      <c r="B103" s="39"/>
      <c r="C103" s="93" t="s">
        <v>107</v>
      </c>
      <c r="D103" s="94">
        <f t="shared" si="38"/>
        <v>6.7500000000000004E-2</v>
      </c>
      <c r="E103" s="94">
        <f t="shared" si="39"/>
        <v>1.8991011235954914E-2</v>
      </c>
      <c r="F103" s="93" t="s">
        <v>107</v>
      </c>
      <c r="G103" s="95">
        <f t="shared" si="22"/>
        <v>-78.146341463413336</v>
      </c>
      <c r="H103" s="71">
        <v>0</v>
      </c>
      <c r="I103" s="71">
        <v>0</v>
      </c>
      <c r="J103" s="71">
        <v>0</v>
      </c>
      <c r="K103" s="71">
        <v>0</v>
      </c>
      <c r="L103" s="96">
        <f t="shared" si="23"/>
        <v>491727.54577927204</v>
      </c>
      <c r="M103" s="96">
        <v>0</v>
      </c>
      <c r="N103" s="96">
        <f t="shared" si="24"/>
        <v>491727.54577927204</v>
      </c>
      <c r="O103" s="96">
        <f t="shared" si="25"/>
        <v>983455.09155854408</v>
      </c>
      <c r="P103" s="96">
        <f t="shared" si="26"/>
        <v>0</v>
      </c>
      <c r="Q103" s="97">
        <f t="shared" si="27"/>
        <v>-0.27969163735251007</v>
      </c>
      <c r="R103" s="97">
        <f t="shared" si="28"/>
        <v>0</v>
      </c>
      <c r="S103" s="71">
        <f t="shared" si="29"/>
        <v>0</v>
      </c>
      <c r="T103" s="98">
        <f t="shared" si="30"/>
        <v>0</v>
      </c>
      <c r="U103" s="99">
        <f t="shared" si="31"/>
        <v>0</v>
      </c>
      <c r="V103" s="93" t="str">
        <f t="shared" si="32"/>
        <v>SI</v>
      </c>
      <c r="W103" s="95">
        <f t="shared" si="33"/>
        <v>-983.45509155854404</v>
      </c>
      <c r="X103" s="95">
        <f t="shared" si="34"/>
        <v>0</v>
      </c>
      <c r="Y103" s="95">
        <f t="shared" si="35"/>
        <v>0</v>
      </c>
      <c r="Z103" s="95">
        <f t="shared" si="36"/>
        <v>983.45509155854404</v>
      </c>
      <c r="AA103" s="93" t="str">
        <f t="shared" si="37"/>
        <v/>
      </c>
      <c r="AB103" s="100"/>
      <c r="AC103" s="71"/>
      <c r="AD103" s="39"/>
    </row>
    <row r="104" spans="1:30" ht="18.75" x14ac:dyDescent="0.25">
      <c r="A104" s="39"/>
      <c r="B104" s="39"/>
      <c r="C104" s="93" t="s">
        <v>107</v>
      </c>
      <c r="D104" s="94">
        <f t="shared" si="38"/>
        <v>6.7500000000000004E-2</v>
      </c>
      <c r="E104" s="94">
        <f t="shared" si="39"/>
        <v>1.839943820224705E-2</v>
      </c>
      <c r="F104" s="93" t="s">
        <v>107</v>
      </c>
      <c r="G104" s="95">
        <f t="shared" si="22"/>
        <v>-72.915662650601163</v>
      </c>
      <c r="H104" s="71">
        <v>0</v>
      </c>
      <c r="I104" s="71">
        <v>0</v>
      </c>
      <c r="J104" s="71">
        <v>0</v>
      </c>
      <c r="K104" s="71">
        <v>0</v>
      </c>
      <c r="L104" s="96">
        <f t="shared" si="23"/>
        <v>491727.54577927204</v>
      </c>
      <c r="M104" s="96">
        <v>0</v>
      </c>
      <c r="N104" s="96">
        <f t="shared" si="24"/>
        <v>491727.54577927204</v>
      </c>
      <c r="O104" s="96">
        <f t="shared" si="25"/>
        <v>983455.09155854408</v>
      </c>
      <c r="P104" s="96">
        <f t="shared" si="26"/>
        <v>0</v>
      </c>
      <c r="Q104" s="97">
        <f t="shared" si="27"/>
        <v>-0.27969163735251007</v>
      </c>
      <c r="R104" s="97">
        <f t="shared" si="28"/>
        <v>0</v>
      </c>
      <c r="S104" s="71">
        <f t="shared" si="29"/>
        <v>0</v>
      </c>
      <c r="T104" s="98">
        <f t="shared" si="30"/>
        <v>0</v>
      </c>
      <c r="U104" s="99">
        <f t="shared" si="31"/>
        <v>0</v>
      </c>
      <c r="V104" s="93" t="str">
        <f t="shared" si="32"/>
        <v>SI</v>
      </c>
      <c r="W104" s="95">
        <f t="shared" si="33"/>
        <v>-983.45509155854404</v>
      </c>
      <c r="X104" s="95">
        <f t="shared" si="34"/>
        <v>0</v>
      </c>
      <c r="Y104" s="95">
        <f t="shared" si="35"/>
        <v>0</v>
      </c>
      <c r="Z104" s="95">
        <f t="shared" si="36"/>
        <v>983.45509155854404</v>
      </c>
      <c r="AA104" s="93" t="str">
        <f t="shared" si="37"/>
        <v/>
      </c>
      <c r="AB104" s="100"/>
      <c r="AC104" s="71"/>
      <c r="AD104" s="39"/>
    </row>
    <row r="105" spans="1:30" ht="18.75" x14ac:dyDescent="0.25">
      <c r="A105" s="39"/>
      <c r="B105" s="39"/>
      <c r="C105" s="93" t="s">
        <v>107</v>
      </c>
      <c r="D105" s="94">
        <f t="shared" si="38"/>
        <v>6.7500000000000004E-2</v>
      </c>
      <c r="E105" s="94">
        <f t="shared" si="39"/>
        <v>1.7807865168539185E-2</v>
      </c>
      <c r="F105" s="93" t="s">
        <v>107</v>
      </c>
      <c r="G105" s="95">
        <f t="shared" si="22"/>
        <v>-67.809523809522616</v>
      </c>
      <c r="H105" s="71">
        <v>0</v>
      </c>
      <c r="I105" s="71">
        <v>0</v>
      </c>
      <c r="J105" s="71">
        <v>0</v>
      </c>
      <c r="K105" s="71">
        <v>0</v>
      </c>
      <c r="L105" s="96">
        <f t="shared" si="23"/>
        <v>491727.54577927204</v>
      </c>
      <c r="M105" s="96">
        <v>0</v>
      </c>
      <c r="N105" s="96">
        <f t="shared" si="24"/>
        <v>491727.54577927204</v>
      </c>
      <c r="O105" s="96">
        <f t="shared" si="25"/>
        <v>983455.09155854408</v>
      </c>
      <c r="P105" s="96">
        <f t="shared" si="26"/>
        <v>0</v>
      </c>
      <c r="Q105" s="97">
        <f t="shared" si="27"/>
        <v>-0.27969163735251007</v>
      </c>
      <c r="R105" s="97">
        <f t="shared" si="28"/>
        <v>0</v>
      </c>
      <c r="S105" s="71">
        <f t="shared" si="29"/>
        <v>0</v>
      </c>
      <c r="T105" s="98">
        <f t="shared" si="30"/>
        <v>0</v>
      </c>
      <c r="U105" s="99">
        <f t="shared" si="31"/>
        <v>0</v>
      </c>
      <c r="V105" s="93" t="str">
        <f t="shared" si="32"/>
        <v>SI</v>
      </c>
      <c r="W105" s="95">
        <f t="shared" si="33"/>
        <v>-983.45509155854404</v>
      </c>
      <c r="X105" s="95">
        <f t="shared" si="34"/>
        <v>0</v>
      </c>
      <c r="Y105" s="95">
        <f t="shared" si="35"/>
        <v>0</v>
      </c>
      <c r="Z105" s="95">
        <f t="shared" si="36"/>
        <v>983.45509155854404</v>
      </c>
      <c r="AA105" s="93" t="str">
        <f t="shared" si="37"/>
        <v/>
      </c>
      <c r="AB105" s="100"/>
      <c r="AC105" s="71"/>
      <c r="AD105" s="39"/>
    </row>
    <row r="106" spans="1:30" ht="18.75" x14ac:dyDescent="0.25">
      <c r="A106" s="39"/>
      <c r="B106" s="39"/>
      <c r="C106" s="93" t="s">
        <v>107</v>
      </c>
      <c r="D106" s="94">
        <f t="shared" si="38"/>
        <v>6.7500000000000004E-2</v>
      </c>
      <c r="E106" s="94">
        <f t="shared" si="39"/>
        <v>1.7216292134831321E-2</v>
      </c>
      <c r="F106" s="93" t="s">
        <v>107</v>
      </c>
      <c r="G106" s="95">
        <f t="shared" si="22"/>
        <v>-62.823529411763523</v>
      </c>
      <c r="H106" s="71">
        <v>0</v>
      </c>
      <c r="I106" s="71">
        <v>0</v>
      </c>
      <c r="J106" s="71">
        <v>0</v>
      </c>
      <c r="K106" s="71">
        <v>0</v>
      </c>
      <c r="L106" s="96">
        <f t="shared" si="23"/>
        <v>491727.54577927204</v>
      </c>
      <c r="M106" s="96">
        <v>0</v>
      </c>
      <c r="N106" s="96">
        <f t="shared" si="24"/>
        <v>491727.54577927204</v>
      </c>
      <c r="O106" s="96">
        <f t="shared" si="25"/>
        <v>983455.09155854408</v>
      </c>
      <c r="P106" s="96">
        <f t="shared" si="26"/>
        <v>0</v>
      </c>
      <c r="Q106" s="97">
        <f t="shared" si="27"/>
        <v>-0.27969163735251007</v>
      </c>
      <c r="R106" s="97">
        <f t="shared" si="28"/>
        <v>0</v>
      </c>
      <c r="S106" s="71">
        <f t="shared" si="29"/>
        <v>0</v>
      </c>
      <c r="T106" s="98">
        <f t="shared" si="30"/>
        <v>0</v>
      </c>
      <c r="U106" s="99">
        <f t="shared" si="31"/>
        <v>0</v>
      </c>
      <c r="V106" s="93" t="str">
        <f t="shared" si="32"/>
        <v>SI</v>
      </c>
      <c r="W106" s="95">
        <f t="shared" si="33"/>
        <v>-983.45509155854404</v>
      </c>
      <c r="X106" s="95">
        <f t="shared" si="34"/>
        <v>0</v>
      </c>
      <c r="Y106" s="95">
        <f t="shared" si="35"/>
        <v>0</v>
      </c>
      <c r="Z106" s="95">
        <f t="shared" si="36"/>
        <v>983.45509155854404</v>
      </c>
      <c r="AA106" s="93" t="str">
        <f t="shared" si="37"/>
        <v/>
      </c>
      <c r="AB106" s="100"/>
      <c r="AC106" s="71"/>
      <c r="AD106" s="39"/>
    </row>
    <row r="107" spans="1:30" ht="18.75" x14ac:dyDescent="0.25">
      <c r="A107" s="39"/>
      <c r="B107" s="39"/>
      <c r="C107" s="93" t="s">
        <v>107</v>
      </c>
      <c r="D107" s="94">
        <f t="shared" si="38"/>
        <v>6.7500000000000004E-2</v>
      </c>
      <c r="E107" s="94">
        <f t="shared" si="39"/>
        <v>1.6624719101123456E-2</v>
      </c>
      <c r="F107" s="93" t="s">
        <v>107</v>
      </c>
      <c r="G107" s="95">
        <f t="shared" si="22"/>
        <v>-57.953488372091876</v>
      </c>
      <c r="H107" s="71">
        <v>0</v>
      </c>
      <c r="I107" s="71">
        <v>0</v>
      </c>
      <c r="J107" s="71">
        <v>0</v>
      </c>
      <c r="K107" s="71">
        <v>0</v>
      </c>
      <c r="L107" s="96">
        <f t="shared" si="23"/>
        <v>491727.54577927204</v>
      </c>
      <c r="M107" s="96">
        <v>0</v>
      </c>
      <c r="N107" s="96">
        <f t="shared" si="24"/>
        <v>491727.54577927204</v>
      </c>
      <c r="O107" s="96">
        <f t="shared" si="25"/>
        <v>983455.09155854408</v>
      </c>
      <c r="P107" s="96">
        <f t="shared" si="26"/>
        <v>0</v>
      </c>
      <c r="Q107" s="97">
        <f t="shared" si="27"/>
        <v>-0.27969163735251007</v>
      </c>
      <c r="R107" s="97">
        <f t="shared" si="28"/>
        <v>0</v>
      </c>
      <c r="S107" s="71">
        <f t="shared" si="29"/>
        <v>0</v>
      </c>
      <c r="T107" s="98">
        <f t="shared" si="30"/>
        <v>0</v>
      </c>
      <c r="U107" s="99">
        <f t="shared" si="31"/>
        <v>0</v>
      </c>
      <c r="V107" s="93" t="str">
        <f t="shared" si="32"/>
        <v>SI</v>
      </c>
      <c r="W107" s="95">
        <f t="shared" si="33"/>
        <v>-983.45509155854404</v>
      </c>
      <c r="X107" s="95">
        <f t="shared" si="34"/>
        <v>0</v>
      </c>
      <c r="Y107" s="95">
        <f t="shared" si="35"/>
        <v>0</v>
      </c>
      <c r="Z107" s="95">
        <f t="shared" si="36"/>
        <v>983.45509155854404</v>
      </c>
      <c r="AA107" s="93" t="str">
        <f t="shared" si="37"/>
        <v/>
      </c>
      <c r="AB107" s="100"/>
      <c r="AC107" s="71"/>
      <c r="AD107" s="39"/>
    </row>
    <row r="108" spans="1:30" ht="18.75" x14ac:dyDescent="0.25">
      <c r="A108" s="39"/>
      <c r="B108" s="39"/>
      <c r="C108" s="93" t="s">
        <v>107</v>
      </c>
      <c r="D108" s="94">
        <f t="shared" si="38"/>
        <v>6.7500000000000004E-2</v>
      </c>
      <c r="E108" s="94">
        <f t="shared" si="39"/>
        <v>1.6033146067415592E-2</v>
      </c>
      <c r="F108" s="93" t="s">
        <v>107</v>
      </c>
      <c r="G108" s="95">
        <f t="shared" si="22"/>
        <v>-53.195402298849473</v>
      </c>
      <c r="H108" s="71">
        <v>0</v>
      </c>
      <c r="I108" s="71">
        <v>0</v>
      </c>
      <c r="J108" s="71">
        <v>0</v>
      </c>
      <c r="K108" s="71">
        <v>0</v>
      </c>
      <c r="L108" s="96">
        <f t="shared" si="23"/>
        <v>491727.54577927204</v>
      </c>
      <c r="M108" s="96">
        <v>0</v>
      </c>
      <c r="N108" s="96">
        <f t="shared" si="24"/>
        <v>491727.54577927204</v>
      </c>
      <c r="O108" s="96">
        <f t="shared" si="25"/>
        <v>983455.09155854408</v>
      </c>
      <c r="P108" s="96">
        <f t="shared" si="26"/>
        <v>0</v>
      </c>
      <c r="Q108" s="97">
        <f t="shared" si="27"/>
        <v>-0.27969163735251007</v>
      </c>
      <c r="R108" s="97">
        <f t="shared" si="28"/>
        <v>0</v>
      </c>
      <c r="S108" s="71">
        <f t="shared" si="29"/>
        <v>0</v>
      </c>
      <c r="T108" s="98">
        <f t="shared" si="30"/>
        <v>0</v>
      </c>
      <c r="U108" s="99">
        <f t="shared" si="31"/>
        <v>0</v>
      </c>
      <c r="V108" s="93" t="str">
        <f t="shared" si="32"/>
        <v>SI</v>
      </c>
      <c r="W108" s="95">
        <f t="shared" si="33"/>
        <v>-983.45509155854404</v>
      </c>
      <c r="X108" s="95">
        <f t="shared" si="34"/>
        <v>0</v>
      </c>
      <c r="Y108" s="95">
        <f t="shared" si="35"/>
        <v>0</v>
      </c>
      <c r="Z108" s="95">
        <f t="shared" si="36"/>
        <v>983.45509155854404</v>
      </c>
      <c r="AA108" s="93" t="str">
        <f t="shared" si="37"/>
        <v/>
      </c>
      <c r="AB108" s="100"/>
      <c r="AC108" s="71"/>
      <c r="AD108" s="39"/>
    </row>
    <row r="109" spans="1:30" ht="18.75" x14ac:dyDescent="0.25">
      <c r="A109" s="39"/>
      <c r="B109" s="39"/>
      <c r="C109" s="93" t="s">
        <v>107</v>
      </c>
      <c r="D109" s="94">
        <f t="shared" si="38"/>
        <v>6.7500000000000004E-2</v>
      </c>
      <c r="E109" s="94">
        <f t="shared" si="39"/>
        <v>1.5441573033707728E-2</v>
      </c>
      <c r="F109" s="93" t="s">
        <v>107</v>
      </c>
      <c r="G109" s="95">
        <f t="shared" si="22"/>
        <v>-48.545454545453481</v>
      </c>
      <c r="H109" s="71">
        <v>0</v>
      </c>
      <c r="I109" s="71">
        <v>0</v>
      </c>
      <c r="J109" s="71">
        <v>0</v>
      </c>
      <c r="K109" s="71">
        <v>0</v>
      </c>
      <c r="L109" s="96">
        <f t="shared" si="23"/>
        <v>491727.54577927204</v>
      </c>
      <c r="M109" s="96">
        <v>0</v>
      </c>
      <c r="N109" s="96">
        <f t="shared" si="24"/>
        <v>491727.54577927204</v>
      </c>
      <c r="O109" s="96">
        <f t="shared" si="25"/>
        <v>983455.09155854408</v>
      </c>
      <c r="P109" s="96">
        <f t="shared" si="26"/>
        <v>0</v>
      </c>
      <c r="Q109" s="97">
        <f t="shared" si="27"/>
        <v>-0.27969163735251007</v>
      </c>
      <c r="R109" s="97">
        <f t="shared" si="28"/>
        <v>0</v>
      </c>
      <c r="S109" s="71">
        <f t="shared" si="29"/>
        <v>0</v>
      </c>
      <c r="T109" s="98">
        <f t="shared" si="30"/>
        <v>0</v>
      </c>
      <c r="U109" s="99">
        <f t="shared" si="31"/>
        <v>0</v>
      </c>
      <c r="V109" s="93" t="str">
        <f t="shared" si="32"/>
        <v>SI</v>
      </c>
      <c r="W109" s="95">
        <f t="shared" si="33"/>
        <v>-983.45509155854404</v>
      </c>
      <c r="X109" s="95">
        <f t="shared" si="34"/>
        <v>0</v>
      </c>
      <c r="Y109" s="95">
        <f t="shared" si="35"/>
        <v>0</v>
      </c>
      <c r="Z109" s="95">
        <f t="shared" si="36"/>
        <v>983.45509155854404</v>
      </c>
      <c r="AA109" s="93" t="str">
        <f t="shared" si="37"/>
        <v/>
      </c>
      <c r="AB109" s="100"/>
      <c r="AC109" s="71"/>
      <c r="AD109" s="39"/>
    </row>
    <row r="110" spans="1:30" ht="18.75" x14ac:dyDescent="0.25">
      <c r="A110" s="39"/>
      <c r="B110" s="39"/>
      <c r="C110" s="93" t="s">
        <v>107</v>
      </c>
      <c r="D110" s="94">
        <f t="shared" si="38"/>
        <v>6.7500000000000004E-2</v>
      </c>
      <c r="E110" s="94">
        <f t="shared" si="39"/>
        <v>1.4849999999999863E-2</v>
      </c>
      <c r="F110" s="93" t="s">
        <v>107</v>
      </c>
      <c r="G110" s="95">
        <f t="shared" si="22"/>
        <v>-43.999999999998948</v>
      </c>
      <c r="H110" s="71">
        <v>0</v>
      </c>
      <c r="I110" s="71">
        <v>0</v>
      </c>
      <c r="J110" s="71">
        <v>0</v>
      </c>
      <c r="K110" s="71">
        <v>0</v>
      </c>
      <c r="L110" s="96">
        <f t="shared" si="23"/>
        <v>491727.54577927204</v>
      </c>
      <c r="M110" s="96">
        <v>0</v>
      </c>
      <c r="N110" s="96">
        <f t="shared" si="24"/>
        <v>491727.54577927204</v>
      </c>
      <c r="O110" s="96">
        <f t="shared" si="25"/>
        <v>983455.09155854408</v>
      </c>
      <c r="P110" s="96">
        <f t="shared" si="26"/>
        <v>0</v>
      </c>
      <c r="Q110" s="97">
        <f t="shared" si="27"/>
        <v>-0.27969163735251007</v>
      </c>
      <c r="R110" s="97">
        <f t="shared" si="28"/>
        <v>0</v>
      </c>
      <c r="S110" s="71">
        <f t="shared" si="29"/>
        <v>0</v>
      </c>
      <c r="T110" s="98">
        <f t="shared" si="30"/>
        <v>0</v>
      </c>
      <c r="U110" s="99">
        <f t="shared" si="31"/>
        <v>0</v>
      </c>
      <c r="V110" s="93" t="str">
        <f t="shared" si="32"/>
        <v>SI</v>
      </c>
      <c r="W110" s="95">
        <f t="shared" si="33"/>
        <v>-983.45509155854404</v>
      </c>
      <c r="X110" s="95">
        <f t="shared" si="34"/>
        <v>0</v>
      </c>
      <c r="Y110" s="95">
        <f t="shared" si="35"/>
        <v>0</v>
      </c>
      <c r="Z110" s="95">
        <f t="shared" si="36"/>
        <v>983.45509155854404</v>
      </c>
      <c r="AA110" s="93" t="str">
        <f t="shared" si="37"/>
        <v/>
      </c>
      <c r="AB110" s="100"/>
      <c r="AC110" s="71"/>
      <c r="AD110" s="39"/>
    </row>
    <row r="111" spans="1:30" ht="18.75" x14ac:dyDescent="0.25">
      <c r="A111" s="39"/>
      <c r="B111" s="39"/>
      <c r="C111" s="93" t="s">
        <v>107</v>
      </c>
      <c r="D111" s="94">
        <f t="shared" si="38"/>
        <v>6.7500000000000004E-2</v>
      </c>
      <c r="E111" s="94">
        <f t="shared" si="39"/>
        <v>1.4258426966291999E-2</v>
      </c>
      <c r="F111" s="93" t="s">
        <v>107</v>
      </c>
      <c r="G111" s="95">
        <f t="shared" si="22"/>
        <v>-39.555555555554534</v>
      </c>
      <c r="H111" s="71">
        <v>0</v>
      </c>
      <c r="I111" s="71">
        <v>0</v>
      </c>
      <c r="J111" s="71">
        <v>0</v>
      </c>
      <c r="K111" s="71">
        <v>0</v>
      </c>
      <c r="L111" s="96">
        <f t="shared" si="23"/>
        <v>491727.54577927204</v>
      </c>
      <c r="M111" s="96">
        <v>0</v>
      </c>
      <c r="N111" s="96">
        <f t="shared" si="24"/>
        <v>491727.54577927204</v>
      </c>
      <c r="O111" s="96">
        <f t="shared" si="25"/>
        <v>983455.09155854408</v>
      </c>
      <c r="P111" s="96">
        <f t="shared" si="26"/>
        <v>0</v>
      </c>
      <c r="Q111" s="97">
        <f t="shared" si="27"/>
        <v>-0.27969163735251007</v>
      </c>
      <c r="R111" s="97">
        <f t="shared" si="28"/>
        <v>0</v>
      </c>
      <c r="S111" s="71">
        <f t="shared" si="29"/>
        <v>0</v>
      </c>
      <c r="T111" s="98">
        <f t="shared" si="30"/>
        <v>0</v>
      </c>
      <c r="U111" s="99">
        <f t="shared" si="31"/>
        <v>0</v>
      </c>
      <c r="V111" s="93" t="str">
        <f t="shared" si="32"/>
        <v>SI</v>
      </c>
      <c r="W111" s="95">
        <f t="shared" si="33"/>
        <v>-983.45509155854404</v>
      </c>
      <c r="X111" s="95">
        <f t="shared" si="34"/>
        <v>0</v>
      </c>
      <c r="Y111" s="95">
        <f t="shared" si="35"/>
        <v>0</v>
      </c>
      <c r="Z111" s="95">
        <f t="shared" si="36"/>
        <v>983.45509155854404</v>
      </c>
      <c r="AA111" s="93" t="str">
        <f t="shared" si="37"/>
        <v/>
      </c>
      <c r="AB111" s="100"/>
      <c r="AC111" s="71"/>
      <c r="AD111" s="39"/>
    </row>
    <row r="112" spans="1:30" ht="18.75" x14ac:dyDescent="0.25">
      <c r="A112" s="39"/>
      <c r="B112" s="39"/>
      <c r="C112" s="93" t="s">
        <v>107</v>
      </c>
      <c r="D112" s="94">
        <f t="shared" si="38"/>
        <v>6.7500000000000004E-2</v>
      </c>
      <c r="E112" s="94">
        <f t="shared" si="39"/>
        <v>1.3666853932584135E-2</v>
      </c>
      <c r="F112" s="93" t="s">
        <v>107</v>
      </c>
      <c r="G112" s="95">
        <f t="shared" si="22"/>
        <v>-35.208791208790224</v>
      </c>
      <c r="H112" s="71">
        <v>0</v>
      </c>
      <c r="I112" s="71">
        <v>0</v>
      </c>
      <c r="J112" s="71">
        <v>0</v>
      </c>
      <c r="K112" s="71">
        <v>0</v>
      </c>
      <c r="L112" s="96">
        <f t="shared" si="23"/>
        <v>491727.54577927204</v>
      </c>
      <c r="M112" s="96">
        <v>0</v>
      </c>
      <c r="N112" s="96">
        <f t="shared" si="24"/>
        <v>491727.54577927204</v>
      </c>
      <c r="O112" s="96">
        <f t="shared" si="25"/>
        <v>983455.09155854408</v>
      </c>
      <c r="P112" s="96">
        <f t="shared" si="26"/>
        <v>0</v>
      </c>
      <c r="Q112" s="97">
        <f t="shared" si="27"/>
        <v>-0.27969163735251007</v>
      </c>
      <c r="R112" s="97">
        <f t="shared" si="28"/>
        <v>0</v>
      </c>
      <c r="S112" s="71">
        <f t="shared" si="29"/>
        <v>0</v>
      </c>
      <c r="T112" s="98">
        <f t="shared" si="30"/>
        <v>0</v>
      </c>
      <c r="U112" s="99">
        <f t="shared" si="31"/>
        <v>0</v>
      </c>
      <c r="V112" s="93" t="str">
        <f t="shared" si="32"/>
        <v>SI</v>
      </c>
      <c r="W112" s="95">
        <f t="shared" si="33"/>
        <v>-983.45509155854404</v>
      </c>
      <c r="X112" s="95">
        <f t="shared" si="34"/>
        <v>0</v>
      </c>
      <c r="Y112" s="95">
        <f t="shared" si="35"/>
        <v>0</v>
      </c>
      <c r="Z112" s="95">
        <f t="shared" si="36"/>
        <v>983.45509155854404</v>
      </c>
      <c r="AA112" s="93" t="str">
        <f t="shared" si="37"/>
        <v/>
      </c>
      <c r="AB112" s="100"/>
      <c r="AC112" s="71"/>
      <c r="AD112" s="39"/>
    </row>
    <row r="113" spans="1:30" ht="18.75" x14ac:dyDescent="0.25">
      <c r="A113" s="39"/>
      <c r="B113" s="39"/>
      <c r="C113" s="93" t="s">
        <v>107</v>
      </c>
      <c r="D113" s="94">
        <f t="shared" si="38"/>
        <v>6.7500000000000004E-2</v>
      </c>
      <c r="E113" s="94">
        <f t="shared" si="39"/>
        <v>1.307528089887627E-2</v>
      </c>
      <c r="F113" s="93" t="s">
        <v>107</v>
      </c>
      <c r="G113" s="95">
        <f t="shared" si="22"/>
        <v>-30.956521739129471</v>
      </c>
      <c r="H113" s="71">
        <v>0</v>
      </c>
      <c r="I113" s="71">
        <v>0</v>
      </c>
      <c r="J113" s="71">
        <v>0</v>
      </c>
      <c r="K113" s="71">
        <v>0</v>
      </c>
      <c r="L113" s="96">
        <f t="shared" si="23"/>
        <v>491727.54577927204</v>
      </c>
      <c r="M113" s="96">
        <v>0</v>
      </c>
      <c r="N113" s="96">
        <f t="shared" si="24"/>
        <v>491727.54577927204</v>
      </c>
      <c r="O113" s="96">
        <f t="shared" si="25"/>
        <v>983455.09155854408</v>
      </c>
      <c r="P113" s="96">
        <f t="shared" si="26"/>
        <v>0</v>
      </c>
      <c r="Q113" s="97">
        <f t="shared" si="27"/>
        <v>-0.27969163735251007</v>
      </c>
      <c r="R113" s="97">
        <f t="shared" si="28"/>
        <v>0</v>
      </c>
      <c r="S113" s="71">
        <f t="shared" si="29"/>
        <v>0</v>
      </c>
      <c r="T113" s="98">
        <f t="shared" si="30"/>
        <v>0</v>
      </c>
      <c r="U113" s="99">
        <f t="shared" si="31"/>
        <v>0</v>
      </c>
      <c r="V113" s="93" t="str">
        <f t="shared" si="32"/>
        <v>SI</v>
      </c>
      <c r="W113" s="95">
        <f t="shared" si="33"/>
        <v>-983.45509155854404</v>
      </c>
      <c r="X113" s="95">
        <f t="shared" si="34"/>
        <v>0</v>
      </c>
      <c r="Y113" s="95">
        <f t="shared" si="35"/>
        <v>0</v>
      </c>
      <c r="Z113" s="95">
        <f t="shared" si="36"/>
        <v>983.45509155854404</v>
      </c>
      <c r="AA113" s="93" t="str">
        <f t="shared" si="37"/>
        <v/>
      </c>
      <c r="AB113" s="100"/>
      <c r="AC113" s="71"/>
      <c r="AD113" s="39"/>
    </row>
    <row r="114" spans="1:30" ht="18.75" x14ac:dyDescent="0.25">
      <c r="A114" s="39"/>
      <c r="B114" s="39"/>
      <c r="C114" s="93" t="s">
        <v>107</v>
      </c>
      <c r="D114" s="94">
        <f t="shared" si="38"/>
        <v>6.7500000000000004E-2</v>
      </c>
      <c r="E114" s="94">
        <f t="shared" si="39"/>
        <v>1.2483707865168406E-2</v>
      </c>
      <c r="F114" s="93" t="s">
        <v>107</v>
      </c>
      <c r="G114" s="95">
        <f t="shared" si="22"/>
        <v>-26.795698924730246</v>
      </c>
      <c r="H114" s="71">
        <v>0</v>
      </c>
      <c r="I114" s="71">
        <v>0</v>
      </c>
      <c r="J114" s="71">
        <v>0</v>
      </c>
      <c r="K114" s="71">
        <v>0</v>
      </c>
      <c r="L114" s="96">
        <f t="shared" si="23"/>
        <v>491727.54577927204</v>
      </c>
      <c r="M114" s="96">
        <v>0</v>
      </c>
      <c r="N114" s="96">
        <f t="shared" si="24"/>
        <v>491727.54577927204</v>
      </c>
      <c r="O114" s="96">
        <f t="shared" si="25"/>
        <v>983455.09155854408</v>
      </c>
      <c r="P114" s="96">
        <f t="shared" si="26"/>
        <v>0</v>
      </c>
      <c r="Q114" s="97">
        <f t="shared" si="27"/>
        <v>-0.27969163735251007</v>
      </c>
      <c r="R114" s="97">
        <f t="shared" si="28"/>
        <v>0</v>
      </c>
      <c r="S114" s="71">
        <f t="shared" si="29"/>
        <v>0</v>
      </c>
      <c r="T114" s="98">
        <f t="shared" si="30"/>
        <v>0</v>
      </c>
      <c r="U114" s="99">
        <f t="shared" si="31"/>
        <v>0</v>
      </c>
      <c r="V114" s="93" t="str">
        <f t="shared" si="32"/>
        <v>SI</v>
      </c>
      <c r="W114" s="95">
        <f t="shared" si="33"/>
        <v>-983.45509155854404</v>
      </c>
      <c r="X114" s="95">
        <f t="shared" si="34"/>
        <v>0</v>
      </c>
      <c r="Y114" s="95">
        <f t="shared" si="35"/>
        <v>0</v>
      </c>
      <c r="Z114" s="95">
        <f t="shared" si="36"/>
        <v>983.45509155854404</v>
      </c>
      <c r="AA114" s="93" t="str">
        <f t="shared" si="37"/>
        <v/>
      </c>
      <c r="AB114" s="100"/>
      <c r="AC114" s="71"/>
      <c r="AD114" s="39"/>
    </row>
    <row r="115" spans="1:30" ht="18.75" x14ac:dyDescent="0.25">
      <c r="A115" s="39"/>
      <c r="B115" s="39"/>
      <c r="C115" s="93" t="s">
        <v>107</v>
      </c>
      <c r="D115" s="94">
        <f t="shared" si="38"/>
        <v>6.7500000000000004E-2</v>
      </c>
      <c r="E115" s="94">
        <f t="shared" si="39"/>
        <v>1.1892134831460541E-2</v>
      </c>
      <c r="F115" s="93" t="s">
        <v>107</v>
      </c>
      <c r="G115" s="95">
        <f t="shared" si="22"/>
        <v>-22.723404255318243</v>
      </c>
      <c r="H115" s="71">
        <v>0</v>
      </c>
      <c r="I115" s="71">
        <v>0</v>
      </c>
      <c r="J115" s="71">
        <v>0</v>
      </c>
      <c r="K115" s="71">
        <v>0</v>
      </c>
      <c r="L115" s="96">
        <f t="shared" si="23"/>
        <v>491727.54577927204</v>
      </c>
      <c r="M115" s="96">
        <v>0</v>
      </c>
      <c r="N115" s="96">
        <f t="shared" si="24"/>
        <v>491727.54577927204</v>
      </c>
      <c r="O115" s="96">
        <f t="shared" si="25"/>
        <v>983455.09155854408</v>
      </c>
      <c r="P115" s="96">
        <f t="shared" si="26"/>
        <v>0</v>
      </c>
      <c r="Q115" s="97">
        <f t="shared" si="27"/>
        <v>-0.27969163735251007</v>
      </c>
      <c r="R115" s="97">
        <f t="shared" si="28"/>
        <v>0</v>
      </c>
      <c r="S115" s="71">
        <f t="shared" si="29"/>
        <v>0</v>
      </c>
      <c r="T115" s="98">
        <f t="shared" si="30"/>
        <v>0</v>
      </c>
      <c r="U115" s="99">
        <f t="shared" si="31"/>
        <v>0</v>
      </c>
      <c r="V115" s="93" t="str">
        <f t="shared" si="32"/>
        <v>SI</v>
      </c>
      <c r="W115" s="95">
        <f t="shared" si="33"/>
        <v>-983.45509155854404</v>
      </c>
      <c r="X115" s="95">
        <f t="shared" si="34"/>
        <v>0</v>
      </c>
      <c r="Y115" s="95">
        <f t="shared" si="35"/>
        <v>0</v>
      </c>
      <c r="Z115" s="95">
        <f t="shared" si="36"/>
        <v>983.45509155854404</v>
      </c>
      <c r="AA115" s="93" t="str">
        <f t="shared" si="37"/>
        <v/>
      </c>
      <c r="AB115" s="100"/>
      <c r="AC115" s="71"/>
      <c r="AD115" s="39"/>
    </row>
    <row r="116" spans="1:30" ht="18.75" x14ac:dyDescent="0.25">
      <c r="A116" s="39"/>
      <c r="B116" s="39"/>
      <c r="C116" s="93" t="s">
        <v>107</v>
      </c>
      <c r="D116" s="94">
        <f t="shared" si="38"/>
        <v>6.7500000000000004E-2</v>
      </c>
      <c r="E116" s="94">
        <f t="shared" si="39"/>
        <v>1.1300561797752677E-2</v>
      </c>
      <c r="F116" s="93" t="s">
        <v>107</v>
      </c>
      <c r="G116" s="95">
        <f t="shared" si="22"/>
        <v>-18.736842105262266</v>
      </c>
      <c r="H116" s="71">
        <v>0</v>
      </c>
      <c r="I116" s="71">
        <v>0</v>
      </c>
      <c r="J116" s="71">
        <v>0</v>
      </c>
      <c r="K116" s="71">
        <v>0</v>
      </c>
      <c r="L116" s="96">
        <f t="shared" si="23"/>
        <v>491727.54577927204</v>
      </c>
      <c r="M116" s="96">
        <v>0</v>
      </c>
      <c r="N116" s="96">
        <f t="shared" si="24"/>
        <v>491727.54577927204</v>
      </c>
      <c r="O116" s="96">
        <f t="shared" si="25"/>
        <v>983455.09155854408</v>
      </c>
      <c r="P116" s="96">
        <f t="shared" si="26"/>
        <v>0</v>
      </c>
      <c r="Q116" s="97">
        <f t="shared" si="27"/>
        <v>-0.27969163735251007</v>
      </c>
      <c r="R116" s="97">
        <f t="shared" si="28"/>
        <v>0</v>
      </c>
      <c r="S116" s="71">
        <f t="shared" si="29"/>
        <v>0</v>
      </c>
      <c r="T116" s="98">
        <f t="shared" si="30"/>
        <v>0</v>
      </c>
      <c r="U116" s="99">
        <f t="shared" si="31"/>
        <v>0</v>
      </c>
      <c r="V116" s="93" t="str">
        <f t="shared" si="32"/>
        <v>SI</v>
      </c>
      <c r="W116" s="95">
        <f t="shared" si="33"/>
        <v>-983.45509155854404</v>
      </c>
      <c r="X116" s="95">
        <f t="shared" si="34"/>
        <v>0</v>
      </c>
      <c r="Y116" s="95">
        <f t="shared" si="35"/>
        <v>0</v>
      </c>
      <c r="Z116" s="95">
        <f t="shared" si="36"/>
        <v>983.45509155854404</v>
      </c>
      <c r="AA116" s="93" t="str">
        <f t="shared" si="37"/>
        <v/>
      </c>
      <c r="AB116" s="100"/>
      <c r="AC116" s="71"/>
      <c r="AD116" s="39"/>
    </row>
    <row r="117" spans="1:30" ht="18.75" x14ac:dyDescent="0.25">
      <c r="A117" s="39"/>
      <c r="B117" s="39"/>
      <c r="C117" s="93" t="s">
        <v>107</v>
      </c>
      <c r="D117" s="94">
        <f t="shared" si="38"/>
        <v>6.7500000000000004E-2</v>
      </c>
      <c r="E117" s="94">
        <f t="shared" si="39"/>
        <v>1.0708988764044813E-2</v>
      </c>
      <c r="F117" s="93" t="s">
        <v>107</v>
      </c>
      <c r="G117" s="95">
        <f t="shared" si="22"/>
        <v>-14.833333333332471</v>
      </c>
      <c r="H117" s="71">
        <v>0</v>
      </c>
      <c r="I117" s="71">
        <v>0</v>
      </c>
      <c r="J117" s="71">
        <v>0</v>
      </c>
      <c r="K117" s="71">
        <v>0</v>
      </c>
      <c r="L117" s="96">
        <f t="shared" si="23"/>
        <v>491727.54577927204</v>
      </c>
      <c r="M117" s="96">
        <v>0</v>
      </c>
      <c r="N117" s="96">
        <f t="shared" si="24"/>
        <v>491727.54577927204</v>
      </c>
      <c r="O117" s="96">
        <f t="shared" si="25"/>
        <v>983455.09155854408</v>
      </c>
      <c r="P117" s="96">
        <f t="shared" si="26"/>
        <v>0</v>
      </c>
      <c r="Q117" s="97">
        <f t="shared" si="27"/>
        <v>-0.27969163735251007</v>
      </c>
      <c r="R117" s="97">
        <f t="shared" si="28"/>
        <v>0</v>
      </c>
      <c r="S117" s="71">
        <f t="shared" si="29"/>
        <v>0</v>
      </c>
      <c r="T117" s="98">
        <f t="shared" si="30"/>
        <v>0</v>
      </c>
      <c r="U117" s="99">
        <f t="shared" si="31"/>
        <v>0</v>
      </c>
      <c r="V117" s="93" t="str">
        <f t="shared" si="32"/>
        <v>SI</v>
      </c>
      <c r="W117" s="95">
        <f t="shared" si="33"/>
        <v>-983.45509155854404</v>
      </c>
      <c r="X117" s="95">
        <f t="shared" si="34"/>
        <v>0</v>
      </c>
      <c r="Y117" s="95">
        <f t="shared" si="35"/>
        <v>0</v>
      </c>
      <c r="Z117" s="95">
        <f t="shared" si="36"/>
        <v>983.45509155854404</v>
      </c>
      <c r="AA117" s="93" t="str">
        <f t="shared" si="37"/>
        <v/>
      </c>
      <c r="AB117" s="100"/>
      <c r="AC117" s="71"/>
      <c r="AD117" s="39"/>
    </row>
    <row r="118" spans="1:30" ht="18.75" x14ac:dyDescent="0.25">
      <c r="A118" s="39"/>
      <c r="B118" s="39"/>
      <c r="C118" s="93" t="s">
        <v>107</v>
      </c>
      <c r="D118" s="94">
        <f t="shared" ref="D118:D149" si="40">$M$8*10^-3</f>
        <v>6.7500000000000004E-2</v>
      </c>
      <c r="E118" s="94">
        <f t="shared" ref="E118:E121" si="41">E117-(D118-($C$10/$C$13*D118))/100</f>
        <v>1.0117415730336948E-2</v>
      </c>
      <c r="F118" s="93" t="s">
        <v>107</v>
      </c>
      <c r="G118" s="95">
        <f t="shared" si="22"/>
        <v>-11.010309278349679</v>
      </c>
      <c r="H118" s="71">
        <v>0</v>
      </c>
      <c r="I118" s="71">
        <v>0</v>
      </c>
      <c r="J118" s="71">
        <v>0</v>
      </c>
      <c r="K118" s="71">
        <v>0</v>
      </c>
      <c r="L118" s="96">
        <f t="shared" si="23"/>
        <v>491727.54577927204</v>
      </c>
      <c r="M118" s="96">
        <v>0</v>
      </c>
      <c r="N118" s="96">
        <f t="shared" si="24"/>
        <v>491727.54577927204</v>
      </c>
      <c r="O118" s="96">
        <f t="shared" si="25"/>
        <v>983455.09155854408</v>
      </c>
      <c r="P118" s="96">
        <f t="shared" si="26"/>
        <v>0</v>
      </c>
      <c r="Q118" s="97">
        <f t="shared" si="27"/>
        <v>-0.27969163735251007</v>
      </c>
      <c r="R118" s="97">
        <f t="shared" si="28"/>
        <v>0</v>
      </c>
      <c r="S118" s="71">
        <f t="shared" si="29"/>
        <v>0</v>
      </c>
      <c r="T118" s="98">
        <f t="shared" si="30"/>
        <v>0</v>
      </c>
      <c r="U118" s="99">
        <f t="shared" si="31"/>
        <v>0</v>
      </c>
      <c r="V118" s="93" t="str">
        <f t="shared" si="32"/>
        <v>SI</v>
      </c>
      <c r="W118" s="95">
        <f t="shared" si="33"/>
        <v>-983.45509155854404</v>
      </c>
      <c r="X118" s="95">
        <f t="shared" si="34"/>
        <v>0</v>
      </c>
      <c r="Y118" s="95">
        <f t="shared" si="35"/>
        <v>0</v>
      </c>
      <c r="Z118" s="95">
        <f t="shared" si="36"/>
        <v>983.45509155854404</v>
      </c>
      <c r="AA118" s="93" t="str">
        <f t="shared" si="37"/>
        <v/>
      </c>
      <c r="AB118" s="100"/>
      <c r="AC118" s="71"/>
      <c r="AD118" s="39"/>
    </row>
    <row r="119" spans="1:30" ht="18.75" x14ac:dyDescent="0.25">
      <c r="A119" s="39"/>
      <c r="B119" s="39"/>
      <c r="C119" s="93" t="s">
        <v>107</v>
      </c>
      <c r="D119" s="94">
        <f t="shared" si="40"/>
        <v>6.7500000000000004E-2</v>
      </c>
      <c r="E119" s="94">
        <f t="shared" si="41"/>
        <v>9.5258426966290839E-3</v>
      </c>
      <c r="F119" s="93" t="s">
        <v>107</v>
      </c>
      <c r="G119" s="95">
        <f t="shared" si="22"/>
        <v>-7.2653061224481625</v>
      </c>
      <c r="H119" s="71">
        <v>0</v>
      </c>
      <c r="I119" s="71">
        <v>0</v>
      </c>
      <c r="J119" s="71">
        <v>0</v>
      </c>
      <c r="K119" s="71">
        <v>0</v>
      </c>
      <c r="L119" s="96">
        <f t="shared" si="23"/>
        <v>491727.54577927204</v>
      </c>
      <c r="M119" s="96">
        <v>0</v>
      </c>
      <c r="N119" s="96">
        <f t="shared" si="24"/>
        <v>491727.54577927204</v>
      </c>
      <c r="O119" s="96">
        <f t="shared" si="25"/>
        <v>983455.09155854408</v>
      </c>
      <c r="P119" s="96">
        <f t="shared" si="26"/>
        <v>0</v>
      </c>
      <c r="Q119" s="97">
        <f t="shared" si="27"/>
        <v>-0.27969163735251007</v>
      </c>
      <c r="R119" s="97">
        <f t="shared" si="28"/>
        <v>0</v>
      </c>
      <c r="S119" s="71">
        <f t="shared" si="29"/>
        <v>0</v>
      </c>
      <c r="T119" s="98">
        <f t="shared" si="30"/>
        <v>0</v>
      </c>
      <c r="U119" s="99">
        <f t="shared" si="31"/>
        <v>0</v>
      </c>
      <c r="V119" s="93" t="str">
        <f t="shared" si="32"/>
        <v>SI</v>
      </c>
      <c r="W119" s="95">
        <f t="shared" si="33"/>
        <v>-983.45509155854404</v>
      </c>
      <c r="X119" s="95">
        <f t="shared" si="34"/>
        <v>0</v>
      </c>
      <c r="Y119" s="95">
        <f t="shared" si="35"/>
        <v>0</v>
      </c>
      <c r="Z119" s="95">
        <f t="shared" si="36"/>
        <v>983.45509155854404</v>
      </c>
      <c r="AA119" s="93" t="str">
        <f t="shared" si="37"/>
        <v/>
      </c>
      <c r="AB119" s="100"/>
      <c r="AC119" s="71"/>
      <c r="AD119" s="39"/>
    </row>
    <row r="120" spans="1:30" ht="18.75" x14ac:dyDescent="0.25">
      <c r="A120" s="39"/>
      <c r="B120" s="39"/>
      <c r="C120" s="93" t="s">
        <v>107</v>
      </c>
      <c r="D120" s="94">
        <f t="shared" si="40"/>
        <v>6.7500000000000004E-2</v>
      </c>
      <c r="E120" s="94">
        <f t="shared" si="41"/>
        <v>8.9342696629212195E-3</v>
      </c>
      <c r="F120" s="93" t="s">
        <v>107</v>
      </c>
      <c r="G120" s="95">
        <f t="shared" si="22"/>
        <v>-3.5959595959588051</v>
      </c>
      <c r="H120" s="71">
        <v>0</v>
      </c>
      <c r="I120" s="71">
        <v>0</v>
      </c>
      <c r="J120" s="71">
        <v>0</v>
      </c>
      <c r="K120" s="71">
        <v>0</v>
      </c>
      <c r="L120" s="96">
        <f t="shared" si="23"/>
        <v>491727.54577927204</v>
      </c>
      <c r="M120" s="96">
        <v>0</v>
      </c>
      <c r="N120" s="96">
        <f t="shared" si="24"/>
        <v>491727.54577927204</v>
      </c>
      <c r="O120" s="96">
        <f t="shared" si="25"/>
        <v>983455.09155854408</v>
      </c>
      <c r="P120" s="96">
        <f t="shared" si="26"/>
        <v>0</v>
      </c>
      <c r="Q120" s="97">
        <f t="shared" si="27"/>
        <v>-0.27969163735251007</v>
      </c>
      <c r="R120" s="97">
        <f t="shared" si="28"/>
        <v>0</v>
      </c>
      <c r="S120" s="71">
        <f t="shared" si="29"/>
        <v>0</v>
      </c>
      <c r="T120" s="98">
        <f t="shared" si="30"/>
        <v>0</v>
      </c>
      <c r="U120" s="99">
        <f t="shared" si="31"/>
        <v>0</v>
      </c>
      <c r="V120" s="93" t="str">
        <f t="shared" si="32"/>
        <v>SI</v>
      </c>
      <c r="W120" s="95">
        <f t="shared" si="33"/>
        <v>-983.45509155854404</v>
      </c>
      <c r="X120" s="95">
        <f t="shared" si="34"/>
        <v>0</v>
      </c>
      <c r="Y120" s="95">
        <f t="shared" si="35"/>
        <v>0</v>
      </c>
      <c r="Z120" s="95">
        <f t="shared" si="36"/>
        <v>983.45509155854404</v>
      </c>
      <c r="AA120" s="93" t="str">
        <f t="shared" si="37"/>
        <v/>
      </c>
      <c r="AB120" s="100"/>
      <c r="AC120" s="71"/>
      <c r="AD120" s="39"/>
    </row>
    <row r="121" spans="1:30" ht="19.5" thickBot="1" x14ac:dyDescent="0.3">
      <c r="A121" s="39"/>
      <c r="B121" s="39"/>
      <c r="C121" s="101" t="s">
        <v>107</v>
      </c>
      <c r="D121" s="102">
        <f t="shared" si="40"/>
        <v>6.7500000000000004E-2</v>
      </c>
      <c r="E121" s="102">
        <f t="shared" si="41"/>
        <v>8.3426966292133552E-3</v>
      </c>
      <c r="F121" s="101" t="s">
        <v>107</v>
      </c>
      <c r="G121" s="103">
        <f t="shared" si="22"/>
        <v>7.7321287496590984E-13</v>
      </c>
      <c r="H121" s="104">
        <v>0</v>
      </c>
      <c r="I121" s="104">
        <v>0</v>
      </c>
      <c r="J121" s="104">
        <v>0</v>
      </c>
      <c r="K121" s="104">
        <v>0</v>
      </c>
      <c r="L121" s="105">
        <f t="shared" si="23"/>
        <v>491727.54577927204</v>
      </c>
      <c r="M121" s="105">
        <v>0</v>
      </c>
      <c r="N121" s="105">
        <f t="shared" si="24"/>
        <v>491727.54577927204</v>
      </c>
      <c r="O121" s="105">
        <f t="shared" si="25"/>
        <v>983455.09155854408</v>
      </c>
      <c r="P121" s="105">
        <f t="shared" si="26"/>
        <v>0</v>
      </c>
      <c r="Q121" s="106">
        <f t="shared" si="27"/>
        <v>-0.27969163735251007</v>
      </c>
      <c r="R121" s="107">
        <f t="shared" si="28"/>
        <v>0</v>
      </c>
      <c r="S121" s="104">
        <f t="shared" si="29"/>
        <v>0</v>
      </c>
      <c r="T121" s="108">
        <f t="shared" si="30"/>
        <v>0</v>
      </c>
      <c r="U121" s="109">
        <f t="shared" si="31"/>
        <v>0</v>
      </c>
      <c r="V121" s="101" t="str">
        <f t="shared" si="32"/>
        <v>SI</v>
      </c>
      <c r="W121" s="103">
        <f t="shared" si="33"/>
        <v>-983.45509155854404</v>
      </c>
      <c r="X121" s="103">
        <f t="shared" si="34"/>
        <v>0</v>
      </c>
      <c r="Y121" s="103">
        <f t="shared" si="35"/>
        <v>0</v>
      </c>
      <c r="Z121" s="103">
        <f t="shared" si="36"/>
        <v>983.45509155854404</v>
      </c>
      <c r="AA121" s="101" t="str">
        <f t="shared" si="37"/>
        <v/>
      </c>
      <c r="AB121" s="100"/>
      <c r="AC121" s="71"/>
      <c r="AD121" s="39"/>
    </row>
    <row r="122" spans="1:30" ht="26.25" x14ac:dyDescent="0.25">
      <c r="A122" s="39"/>
      <c r="B122" s="110" t="s">
        <v>108</v>
      </c>
      <c r="C122" s="111">
        <v>0</v>
      </c>
      <c r="D122" s="111">
        <f t="shared" si="40"/>
        <v>6.7500000000000004E-2</v>
      </c>
      <c r="E122" s="112">
        <f t="shared" ref="E122:E157" si="42">($C$10-G122)/($C$13-G122)*D122</f>
        <v>8.3426966292134835E-3</v>
      </c>
      <c r="F122" s="113" t="s">
        <v>107</v>
      </c>
      <c r="G122" s="114">
        <f>($C$13*C122)/(C122+D122)</f>
        <v>0</v>
      </c>
      <c r="H122" s="115">
        <f t="shared" ref="H122:H142" si="43">(2*$I$10/(-$I$14)*((-C122*10^3)^2)/2)-($I$10/(-$I$14)^2*(-C122*10^3)^3/3)</f>
        <v>0</v>
      </c>
      <c r="I122" s="115">
        <f t="shared" ref="I122:I142" si="44">(2*$I$10/(-$I$14)*((-C122*10^3)^3)/3)-($I$10/(-$I$14)^2*(-C122*10^3)^4/4)</f>
        <v>0</v>
      </c>
      <c r="J122" s="115">
        <f t="shared" ref="J122:J153" si="45">H122/($I$10*(-$I$12))</f>
        <v>0</v>
      </c>
      <c r="K122" s="115">
        <v>0</v>
      </c>
      <c r="L122" s="96">
        <f t="shared" si="23"/>
        <v>491727.54577927204</v>
      </c>
      <c r="M122" s="116">
        <f t="shared" ref="M122:M157" si="46">-$I$16*$C$6*$I$10*G122*J122</f>
        <v>0</v>
      </c>
      <c r="N122" s="96">
        <f t="shared" si="24"/>
        <v>491727.54577927204</v>
      </c>
      <c r="O122" s="116">
        <f t="shared" si="25"/>
        <v>983455.09155854408</v>
      </c>
      <c r="P122" s="116">
        <f t="shared" ref="P122:P157" si="47">-M122*($C$8/2+-K122*G122)-L122*($C$13/2)+N122*($C$13/2)</f>
        <v>0</v>
      </c>
      <c r="Q122" s="97">
        <f t="shared" si="27"/>
        <v>-0.27969163735251007</v>
      </c>
      <c r="R122" s="117">
        <f t="shared" si="28"/>
        <v>0</v>
      </c>
      <c r="S122" s="71">
        <f t="shared" si="29"/>
        <v>0</v>
      </c>
      <c r="T122" s="118">
        <f t="shared" si="30"/>
        <v>0</v>
      </c>
      <c r="U122" s="119">
        <f t="shared" si="31"/>
        <v>0</v>
      </c>
      <c r="V122" s="93" t="str">
        <f t="shared" si="32"/>
        <v>SI</v>
      </c>
      <c r="W122" s="95">
        <f t="shared" si="33"/>
        <v>-983.45509155854404</v>
      </c>
      <c r="X122" s="95">
        <f t="shared" si="34"/>
        <v>0</v>
      </c>
      <c r="Y122" s="95">
        <f t="shared" si="35"/>
        <v>0</v>
      </c>
      <c r="Z122" s="95">
        <f t="shared" si="36"/>
        <v>983.45509155854404</v>
      </c>
      <c r="AA122" s="93" t="str">
        <f t="shared" si="37"/>
        <v/>
      </c>
      <c r="AB122" s="100"/>
      <c r="AC122" s="71"/>
      <c r="AD122" s="39"/>
    </row>
    <row r="123" spans="1:30" ht="18.75" x14ac:dyDescent="0.25">
      <c r="A123" s="39"/>
      <c r="B123" s="39"/>
      <c r="C123" s="94">
        <v>-1E-4</v>
      </c>
      <c r="D123" s="94">
        <f t="shared" si="40"/>
        <v>6.7500000000000004E-2</v>
      </c>
      <c r="E123" s="94">
        <f t="shared" si="42"/>
        <v>8.2550561797752747E-3</v>
      </c>
      <c r="F123" s="93" t="s">
        <v>107</v>
      </c>
      <c r="G123" s="95">
        <f t="shared" ref="G123:G157" si="48">($C$13-$M$8*10^(-3)/($M$8*10^(-3)-C123)*$C$13)</f>
        <v>0.5266272189349479</v>
      </c>
      <c r="H123" s="71">
        <f t="shared" si="43"/>
        <v>8.1616666666666671E-2</v>
      </c>
      <c r="I123" s="71">
        <f t="shared" si="44"/>
        <v>5.429583333333334E-3</v>
      </c>
      <c r="J123" s="71">
        <f t="shared" si="45"/>
        <v>1.404761904761905E-3</v>
      </c>
      <c r="K123" s="71">
        <f t="shared" ref="K123:K154" si="49">1-(I123/H123)/(-C123*10^3)</f>
        <v>0.3347457627118644</v>
      </c>
      <c r="L123" s="96">
        <f t="shared" si="23"/>
        <v>491727.54577927204</v>
      </c>
      <c r="M123" s="96">
        <f t="shared" si="46"/>
        <v>-7.3068648915192469</v>
      </c>
      <c r="N123" s="96">
        <f t="shared" si="24"/>
        <v>491727.54577927204</v>
      </c>
      <c r="O123" s="96">
        <f t="shared" si="25"/>
        <v>983447.78469365253</v>
      </c>
      <c r="P123" s="96">
        <f t="shared" si="47"/>
        <v>1460.0848786383867</v>
      </c>
      <c r="Q123" s="97">
        <f t="shared" si="27"/>
        <v>-0.27968955930235512</v>
      </c>
      <c r="R123" s="97">
        <f t="shared" si="28"/>
        <v>9.9145265298283534E-7</v>
      </c>
      <c r="S123" s="71">
        <f t="shared" si="29"/>
        <v>-9.9145265298283534E-7</v>
      </c>
      <c r="T123" s="98">
        <f t="shared" si="30"/>
        <v>1.4846592786755917E-3</v>
      </c>
      <c r="U123" s="99">
        <f t="shared" si="31"/>
        <v>4.170391232234808E-6</v>
      </c>
      <c r="V123" s="93" t="str">
        <f t="shared" si="32"/>
        <v>SI</v>
      </c>
      <c r="W123" s="95">
        <f t="shared" si="33"/>
        <v>-983.44778469365258</v>
      </c>
      <c r="X123" s="95">
        <f t="shared" si="34"/>
        <v>1.4600848786383868E-3</v>
      </c>
      <c r="Y123" s="95">
        <f t="shared" si="35"/>
        <v>-1.4600848786383868E-3</v>
      </c>
      <c r="Z123" s="95">
        <f t="shared" si="36"/>
        <v>983.45509155854404</v>
      </c>
      <c r="AA123" s="93" t="str">
        <f t="shared" si="37"/>
        <v/>
      </c>
      <c r="AB123" s="100"/>
      <c r="AC123" s="71"/>
      <c r="AD123" s="39"/>
    </row>
    <row r="124" spans="1:30" ht="18.75" x14ac:dyDescent="0.25">
      <c r="A124" s="39"/>
      <c r="B124" s="39"/>
      <c r="C124" s="94">
        <f t="shared" ref="C124:C157" si="50">C123-0.0001</f>
        <v>-2.0000000000000001E-4</v>
      </c>
      <c r="D124" s="94">
        <f t="shared" si="40"/>
        <v>6.7500000000000004E-2</v>
      </c>
      <c r="E124" s="94">
        <f t="shared" si="42"/>
        <v>8.1674157303370694E-3</v>
      </c>
      <c r="F124" s="93" t="s">
        <v>107</v>
      </c>
      <c r="G124" s="95">
        <f t="shared" si="48"/>
        <v>1.0516986706056741</v>
      </c>
      <c r="H124" s="71">
        <f t="shared" si="43"/>
        <v>0.32093333333333335</v>
      </c>
      <c r="I124" s="71">
        <f t="shared" si="44"/>
        <v>4.2606666666666668E-2</v>
      </c>
      <c r="J124" s="71">
        <f t="shared" si="45"/>
        <v>5.5238095238095246E-3</v>
      </c>
      <c r="K124" s="71">
        <f t="shared" si="49"/>
        <v>0.3362068965517242</v>
      </c>
      <c r="L124" s="96">
        <f t="shared" si="23"/>
        <v>491727.54577927204</v>
      </c>
      <c r="M124" s="96">
        <f t="shared" si="46"/>
        <v>-57.379277203351442</v>
      </c>
      <c r="N124" s="96">
        <f t="shared" si="24"/>
        <v>491727.54577927204</v>
      </c>
      <c r="O124" s="96">
        <f t="shared" si="25"/>
        <v>983397.71228134073</v>
      </c>
      <c r="P124" s="96">
        <f t="shared" si="47"/>
        <v>11455.566796943545</v>
      </c>
      <c r="Q124" s="97">
        <f t="shared" si="27"/>
        <v>-0.27967531886056385</v>
      </c>
      <c r="R124" s="97">
        <f t="shared" si="28"/>
        <v>7.7787615353180184E-6</v>
      </c>
      <c r="S124" s="71">
        <f t="shared" si="29"/>
        <v>-7.7787615353180184E-6</v>
      </c>
      <c r="T124" s="98">
        <f t="shared" si="30"/>
        <v>1.1648966286863007E-2</v>
      </c>
      <c r="U124" s="99">
        <f t="shared" si="31"/>
        <v>3.2721815412536538E-5</v>
      </c>
      <c r="V124" s="93" t="str">
        <f t="shared" si="32"/>
        <v>SI</v>
      </c>
      <c r="W124" s="95">
        <f t="shared" si="33"/>
        <v>-983.39771228134077</v>
      </c>
      <c r="X124" s="95">
        <f t="shared" si="34"/>
        <v>1.1455566796943545E-2</v>
      </c>
      <c r="Y124" s="95">
        <f t="shared" si="35"/>
        <v>-1.1455566796943545E-2</v>
      </c>
      <c r="Z124" s="95">
        <f t="shared" si="36"/>
        <v>983.45509155854404</v>
      </c>
      <c r="AA124" s="93" t="str">
        <f t="shared" si="37"/>
        <v/>
      </c>
      <c r="AB124" s="100"/>
      <c r="AC124" s="71"/>
      <c r="AD124" s="39"/>
    </row>
    <row r="125" spans="1:30" ht="18.75" x14ac:dyDescent="0.25">
      <c r="A125" s="39"/>
      <c r="B125" s="39"/>
      <c r="C125" s="94">
        <f t="shared" si="50"/>
        <v>-3.0000000000000003E-4</v>
      </c>
      <c r="D125" s="94">
        <f t="shared" si="40"/>
        <v>6.7500000000000004E-2</v>
      </c>
      <c r="E125" s="94">
        <f t="shared" si="42"/>
        <v>8.0797752808988831E-3</v>
      </c>
      <c r="F125" s="93" t="s">
        <v>107</v>
      </c>
      <c r="G125" s="95">
        <f t="shared" si="48"/>
        <v>1.5752212389380134</v>
      </c>
      <c r="H125" s="71">
        <f t="shared" si="43"/>
        <v>0.70965000000000011</v>
      </c>
      <c r="I125" s="71">
        <f t="shared" si="44"/>
        <v>0.14099625000000002</v>
      </c>
      <c r="J125" s="71">
        <f t="shared" si="45"/>
        <v>1.2214285714285717E-2</v>
      </c>
      <c r="K125" s="71">
        <f t="shared" si="49"/>
        <v>0.3377192982456142</v>
      </c>
      <c r="L125" s="96">
        <f t="shared" si="23"/>
        <v>491727.54577927204</v>
      </c>
      <c r="M125" s="96">
        <f t="shared" si="46"/>
        <v>-190.03547787610142</v>
      </c>
      <c r="N125" s="96">
        <f t="shared" si="24"/>
        <v>491727.54577927204</v>
      </c>
      <c r="O125" s="96">
        <f t="shared" si="25"/>
        <v>983265.056080668</v>
      </c>
      <c r="P125" s="96">
        <f t="shared" si="47"/>
        <v>37906.000005438924</v>
      </c>
      <c r="Q125" s="97">
        <f t="shared" si="27"/>
        <v>-0.27963759184049997</v>
      </c>
      <c r="R125" s="97">
        <f t="shared" si="28"/>
        <v>2.5739602415722004E-5</v>
      </c>
      <c r="S125" s="71">
        <f t="shared" si="29"/>
        <v>-2.5739602415722004E-5</v>
      </c>
      <c r="T125" s="98">
        <f t="shared" si="30"/>
        <v>3.8551151361499295E-2</v>
      </c>
      <c r="U125" s="99">
        <f t="shared" si="31"/>
        <v>1.0828975101544746E-4</v>
      </c>
      <c r="V125" s="93" t="str">
        <f t="shared" si="32"/>
        <v>SI</v>
      </c>
      <c r="W125" s="95">
        <f t="shared" si="33"/>
        <v>-983.26505608066805</v>
      </c>
      <c r="X125" s="95">
        <f t="shared" si="34"/>
        <v>3.7906000005438922E-2</v>
      </c>
      <c r="Y125" s="95">
        <f t="shared" si="35"/>
        <v>-3.7906000005438922E-2</v>
      </c>
      <c r="Z125" s="95">
        <f t="shared" si="36"/>
        <v>983.45509155854404</v>
      </c>
      <c r="AA125" s="93" t="str">
        <f t="shared" si="37"/>
        <v/>
      </c>
      <c r="AB125" s="100"/>
      <c r="AC125" s="71"/>
      <c r="AD125" s="39"/>
    </row>
    <row r="126" spans="1:30" ht="18.75" x14ac:dyDescent="0.25">
      <c r="A126" s="39"/>
      <c r="B126" s="39"/>
      <c r="C126" s="94">
        <f t="shared" si="50"/>
        <v>-4.0000000000000002E-4</v>
      </c>
      <c r="D126" s="94">
        <f t="shared" si="40"/>
        <v>6.7500000000000004E-2</v>
      </c>
      <c r="E126" s="94">
        <f t="shared" si="42"/>
        <v>7.992134831460676E-3</v>
      </c>
      <c r="F126" s="93" t="s">
        <v>107</v>
      </c>
      <c r="G126" s="95">
        <f t="shared" si="48"/>
        <v>2.0972017673048526</v>
      </c>
      <c r="H126" s="71">
        <f t="shared" si="43"/>
        <v>1.2394666666666667</v>
      </c>
      <c r="I126" s="71">
        <f t="shared" si="44"/>
        <v>0.32757333333333333</v>
      </c>
      <c r="J126" s="71">
        <f t="shared" si="45"/>
        <v>2.1333333333333336E-2</v>
      </c>
      <c r="K126" s="71">
        <f t="shared" si="49"/>
        <v>0.3392857142857143</v>
      </c>
      <c r="L126" s="96">
        <f t="shared" si="23"/>
        <v>491727.54577927204</v>
      </c>
      <c r="M126" s="96">
        <f t="shared" si="46"/>
        <v>-441.89998625429394</v>
      </c>
      <c r="N126" s="96">
        <f t="shared" si="24"/>
        <v>491727.54577927204</v>
      </c>
      <c r="O126" s="96">
        <f t="shared" si="25"/>
        <v>983013.1915722898</v>
      </c>
      <c r="P126" s="96">
        <f t="shared" si="47"/>
        <v>88065.563050672412</v>
      </c>
      <c r="Q126" s="97">
        <f t="shared" si="27"/>
        <v>-0.27956596234023712</v>
      </c>
      <c r="R126" s="97">
        <f t="shared" si="28"/>
        <v>5.9799835886555151E-5</v>
      </c>
      <c r="S126" s="71">
        <f t="shared" si="29"/>
        <v>-5.9799835886555151E-5</v>
      </c>
      <c r="T126" s="98">
        <f t="shared" si="30"/>
        <v>8.9587366482656361E-2</v>
      </c>
      <c r="U126" s="99">
        <f t="shared" si="31"/>
        <v>2.5164990585015834E-4</v>
      </c>
      <c r="V126" s="93" t="str">
        <f t="shared" si="32"/>
        <v>SI</v>
      </c>
      <c r="W126" s="95">
        <f t="shared" si="33"/>
        <v>-983.01319157228977</v>
      </c>
      <c r="X126" s="95">
        <f t="shared" si="34"/>
        <v>8.806556305067241E-2</v>
      </c>
      <c r="Y126" s="95">
        <f t="shared" si="35"/>
        <v>-8.806556305067241E-2</v>
      </c>
      <c r="Z126" s="95">
        <f t="shared" si="36"/>
        <v>983.45509155854404</v>
      </c>
      <c r="AA126" s="93" t="str">
        <f t="shared" si="37"/>
        <v/>
      </c>
      <c r="AB126" s="100"/>
      <c r="AC126" s="71"/>
      <c r="AD126" s="39"/>
    </row>
    <row r="127" spans="1:30" ht="18.75" x14ac:dyDescent="0.25">
      <c r="A127" s="39"/>
      <c r="B127" s="39"/>
      <c r="C127" s="94">
        <f t="shared" si="50"/>
        <v>-5.0000000000000001E-4</v>
      </c>
      <c r="D127" s="94">
        <f t="shared" si="40"/>
        <v>6.7500000000000004E-2</v>
      </c>
      <c r="E127" s="94">
        <f t="shared" si="42"/>
        <v>7.9044943820224707E-3</v>
      </c>
      <c r="F127" s="93" t="s">
        <v>107</v>
      </c>
      <c r="G127" s="95">
        <f t="shared" si="48"/>
        <v>2.6176470588235361</v>
      </c>
      <c r="H127" s="71">
        <f t="shared" si="43"/>
        <v>1.9020833333333331</v>
      </c>
      <c r="I127" s="71">
        <f t="shared" si="44"/>
        <v>0.62682291666666656</v>
      </c>
      <c r="J127" s="71">
        <f t="shared" si="45"/>
        <v>3.273809523809524E-2</v>
      </c>
      <c r="K127" s="71">
        <f t="shared" si="49"/>
        <v>0.34090909090909094</v>
      </c>
      <c r="L127" s="96">
        <f t="shared" si="23"/>
        <v>491727.54577927204</v>
      </c>
      <c r="M127" s="96">
        <f t="shared" si="46"/>
        <v>-846.42708333333542</v>
      </c>
      <c r="N127" s="96">
        <f t="shared" si="24"/>
        <v>491727.54577927204</v>
      </c>
      <c r="O127" s="96">
        <f t="shared" si="25"/>
        <v>982608.66447521071</v>
      </c>
      <c r="P127" s="96">
        <f t="shared" si="47"/>
        <v>168530.08233761787</v>
      </c>
      <c r="Q127" s="97">
        <f t="shared" si="27"/>
        <v>-0.27945091606399469</v>
      </c>
      <c r="R127" s="97">
        <f t="shared" si="28"/>
        <v>1.1443827662736127E-4</v>
      </c>
      <c r="S127" s="71">
        <f t="shared" si="29"/>
        <v>-1.1443827662736127E-4</v>
      </c>
      <c r="T127" s="98">
        <f t="shared" si="30"/>
        <v>0.17151292109522159</v>
      </c>
      <c r="U127" s="99">
        <f t="shared" si="31"/>
        <v>4.8177786824500445E-4</v>
      </c>
      <c r="V127" s="93" t="str">
        <f t="shared" si="32"/>
        <v>SI</v>
      </c>
      <c r="W127" s="95">
        <f t="shared" si="33"/>
        <v>-982.60866447521073</v>
      </c>
      <c r="X127" s="95">
        <f t="shared" si="34"/>
        <v>0.16853008233761788</v>
      </c>
      <c r="Y127" s="95">
        <f t="shared" si="35"/>
        <v>-0.16853008233761788</v>
      </c>
      <c r="Z127" s="95">
        <f t="shared" si="36"/>
        <v>983.45509155854404</v>
      </c>
      <c r="AA127" s="93" t="str">
        <f t="shared" si="37"/>
        <v/>
      </c>
      <c r="AB127" s="100"/>
      <c r="AC127" s="71"/>
      <c r="AD127" s="39"/>
    </row>
    <row r="128" spans="1:30" ht="18.75" x14ac:dyDescent="0.25">
      <c r="A128" s="39"/>
      <c r="B128" s="39"/>
      <c r="C128" s="94">
        <f t="shared" si="50"/>
        <v>-6.0000000000000006E-4</v>
      </c>
      <c r="D128" s="94">
        <f t="shared" si="40"/>
        <v>6.7500000000000004E-2</v>
      </c>
      <c r="E128" s="94">
        <f t="shared" si="42"/>
        <v>7.8168539325842636E-3</v>
      </c>
      <c r="F128" s="93" t="s">
        <v>107</v>
      </c>
      <c r="G128" s="95">
        <f t="shared" si="48"/>
        <v>3.1365638766520192</v>
      </c>
      <c r="H128" s="71">
        <f t="shared" si="43"/>
        <v>2.6892000000000005</v>
      </c>
      <c r="I128" s="71">
        <f t="shared" si="44"/>
        <v>1.0607400000000002</v>
      </c>
      <c r="J128" s="71">
        <f t="shared" si="45"/>
        <v>4.6285714285714298E-2</v>
      </c>
      <c r="K128" s="71">
        <f t="shared" si="49"/>
        <v>0.34259259259259267</v>
      </c>
      <c r="L128" s="96">
        <f t="shared" si="23"/>
        <v>491727.54577927204</v>
      </c>
      <c r="M128" s="96">
        <f t="shared" si="46"/>
        <v>-1433.9240881057437</v>
      </c>
      <c r="N128" s="96">
        <f t="shared" si="24"/>
        <v>491727.54577927204</v>
      </c>
      <c r="O128" s="96">
        <f t="shared" si="25"/>
        <v>982021.16747043841</v>
      </c>
      <c r="P128" s="96">
        <f t="shared" si="47"/>
        <v>285243.97506211698</v>
      </c>
      <c r="Q128" s="97">
        <f t="shared" si="27"/>
        <v>-0.27928383370241572</v>
      </c>
      <c r="R128" s="97">
        <f t="shared" si="28"/>
        <v>1.9369140791762626E-4</v>
      </c>
      <c r="S128" s="71">
        <f t="shared" si="29"/>
        <v>-1.9369140791762626E-4</v>
      </c>
      <c r="T128" s="98">
        <f t="shared" si="30"/>
        <v>0.29046621856112242</v>
      </c>
      <c r="U128" s="99">
        <f t="shared" si="31"/>
        <v>8.1591634427281585E-4</v>
      </c>
      <c r="V128" s="93" t="str">
        <f t="shared" si="32"/>
        <v>SI</v>
      </c>
      <c r="W128" s="95">
        <f t="shared" si="33"/>
        <v>-982.0211674704384</v>
      </c>
      <c r="X128" s="95">
        <f t="shared" si="34"/>
        <v>0.28524397506211696</v>
      </c>
      <c r="Y128" s="95">
        <f t="shared" si="35"/>
        <v>-0.28524397506211696</v>
      </c>
      <c r="Z128" s="95">
        <f t="shared" si="36"/>
        <v>983.45509155854404</v>
      </c>
      <c r="AA128" s="93" t="str">
        <f t="shared" si="37"/>
        <v/>
      </c>
      <c r="AB128" s="100"/>
      <c r="AC128" s="71"/>
      <c r="AD128" s="39"/>
    </row>
    <row r="129" spans="1:30" ht="18.75" x14ac:dyDescent="0.25">
      <c r="A129" s="39"/>
      <c r="B129" s="39"/>
      <c r="C129" s="94">
        <f t="shared" si="50"/>
        <v>-7.000000000000001E-4</v>
      </c>
      <c r="D129" s="94">
        <f t="shared" si="40"/>
        <v>6.7500000000000004E-2</v>
      </c>
      <c r="E129" s="94">
        <f t="shared" si="42"/>
        <v>7.7292134831460626E-3</v>
      </c>
      <c r="F129" s="93" t="s">
        <v>107</v>
      </c>
      <c r="G129" s="95">
        <f t="shared" si="48"/>
        <v>3.6539589442815554</v>
      </c>
      <c r="H129" s="71">
        <f t="shared" si="43"/>
        <v>3.5925166666666666</v>
      </c>
      <c r="I129" s="71">
        <f t="shared" si="44"/>
        <v>1.6488295833333333</v>
      </c>
      <c r="J129" s="71">
        <f t="shared" si="45"/>
        <v>6.1833333333333337E-2</v>
      </c>
      <c r="K129" s="71">
        <f t="shared" si="49"/>
        <v>0.34433962264150952</v>
      </c>
      <c r="L129" s="96">
        <f t="shared" si="23"/>
        <v>491727.54577927204</v>
      </c>
      <c r="M129" s="96">
        <f t="shared" si="46"/>
        <v>-2231.574429130028</v>
      </c>
      <c r="N129" s="96">
        <f t="shared" si="24"/>
        <v>491727.54577927204</v>
      </c>
      <c r="O129" s="96">
        <f t="shared" si="25"/>
        <v>981223.51712941402</v>
      </c>
      <c r="P129" s="96">
        <f t="shared" si="47"/>
        <v>443507.11253263056</v>
      </c>
      <c r="Q129" s="97">
        <f t="shared" si="27"/>
        <v>-0.27905698437108289</v>
      </c>
      <c r="R129" s="97">
        <f t="shared" si="28"/>
        <v>3.0115804209087776E-4</v>
      </c>
      <c r="S129" s="71">
        <f t="shared" si="29"/>
        <v>-3.0115804209087776E-4</v>
      </c>
      <c r="T129" s="98">
        <f t="shared" si="30"/>
        <v>0.45199396955967597</v>
      </c>
      <c r="U129" s="99">
        <f t="shared" si="31"/>
        <v>1.2696459819092022E-3</v>
      </c>
      <c r="V129" s="93" t="str">
        <f t="shared" si="32"/>
        <v>SI</v>
      </c>
      <c r="W129" s="95">
        <f t="shared" si="33"/>
        <v>-981.22351712941406</v>
      </c>
      <c r="X129" s="95">
        <f t="shared" si="34"/>
        <v>0.44350711253263059</v>
      </c>
      <c r="Y129" s="95">
        <f t="shared" si="35"/>
        <v>-0.44350711253263059</v>
      </c>
      <c r="Z129" s="95">
        <f t="shared" si="36"/>
        <v>983.45509155854404</v>
      </c>
      <c r="AA129" s="93" t="str">
        <f t="shared" si="37"/>
        <v/>
      </c>
      <c r="AB129" s="100"/>
      <c r="AC129" s="71"/>
      <c r="AD129" s="39"/>
    </row>
    <row r="130" spans="1:30" ht="18.75" x14ac:dyDescent="0.25">
      <c r="A130" s="39"/>
      <c r="B130" s="39"/>
      <c r="C130" s="94">
        <f t="shared" si="50"/>
        <v>-8.0000000000000015E-4</v>
      </c>
      <c r="D130" s="94">
        <f t="shared" si="40"/>
        <v>6.7500000000000004E-2</v>
      </c>
      <c r="E130" s="120">
        <f t="shared" si="42"/>
        <v>7.6415730337078764E-3</v>
      </c>
      <c r="F130" s="121" t="s">
        <v>107</v>
      </c>
      <c r="G130" s="122">
        <f t="shared" si="48"/>
        <v>4.1698389458271663</v>
      </c>
      <c r="H130" s="97">
        <f t="shared" si="43"/>
        <v>4.6037333333333343</v>
      </c>
      <c r="I130" s="71">
        <f t="shared" si="44"/>
        <v>2.4081066666666677</v>
      </c>
      <c r="J130" s="71">
        <f t="shared" si="45"/>
        <v>7.923809523809526E-2</v>
      </c>
      <c r="K130" s="71">
        <f t="shared" si="49"/>
        <v>0.34615384615384615</v>
      </c>
      <c r="L130" s="96">
        <f t="shared" si="23"/>
        <v>491727.54577927204</v>
      </c>
      <c r="M130" s="96">
        <f t="shared" si="46"/>
        <v>-3263.4605134211297</v>
      </c>
      <c r="N130" s="96">
        <f t="shared" si="24"/>
        <v>491727.54577927204</v>
      </c>
      <c r="O130" s="96">
        <f t="shared" si="25"/>
        <v>980191.63104512298</v>
      </c>
      <c r="P130" s="96">
        <f t="shared" si="47"/>
        <v>647981.60488717258</v>
      </c>
      <c r="Q130" s="97">
        <f t="shared" si="27"/>
        <v>-0.27876351910667591</v>
      </c>
      <c r="R130" s="97">
        <f t="shared" si="28"/>
        <v>4.4000392761315204E-4</v>
      </c>
      <c r="S130" s="71">
        <f t="shared" si="29"/>
        <v>-4.4000392761315204E-4</v>
      </c>
      <c r="T130" s="98">
        <f t="shared" si="30"/>
        <v>0.66107645113870883</v>
      </c>
      <c r="U130" s="99">
        <f t="shared" si="31"/>
        <v>1.8569563234233394E-3</v>
      </c>
      <c r="V130" s="93" t="str">
        <f t="shared" si="32"/>
        <v>SI</v>
      </c>
      <c r="W130" s="95">
        <f t="shared" si="33"/>
        <v>-980.19163104512302</v>
      </c>
      <c r="X130" s="95">
        <f t="shared" si="34"/>
        <v>0.6479816048871726</v>
      </c>
      <c r="Y130" s="95">
        <f t="shared" si="35"/>
        <v>-0.6479816048871726</v>
      </c>
      <c r="Z130" s="95">
        <f t="shared" si="36"/>
        <v>983.45509155854404</v>
      </c>
      <c r="AA130" s="93" t="str">
        <f t="shared" si="37"/>
        <v/>
      </c>
      <c r="AB130" s="100"/>
      <c r="AC130" s="71"/>
      <c r="AD130" s="39"/>
    </row>
    <row r="131" spans="1:30" ht="18.75" x14ac:dyDescent="0.25">
      <c r="A131" s="39"/>
      <c r="B131" s="39"/>
      <c r="C131" s="94">
        <f t="shared" si="50"/>
        <v>-9.0000000000000019E-4</v>
      </c>
      <c r="D131" s="94">
        <f t="shared" si="40"/>
        <v>6.7500000000000004E-2</v>
      </c>
      <c r="E131" s="94">
        <f t="shared" si="42"/>
        <v>7.5539325842696649E-3</v>
      </c>
      <c r="F131" s="93" t="s">
        <v>107</v>
      </c>
      <c r="G131" s="95">
        <f t="shared" si="48"/>
        <v>4.6842105263157805</v>
      </c>
      <c r="H131" s="71">
        <f t="shared" si="43"/>
        <v>5.7145500000000018</v>
      </c>
      <c r="I131" s="71">
        <f t="shared" si="44"/>
        <v>3.3530962500000014</v>
      </c>
      <c r="J131" s="71">
        <f t="shared" si="45"/>
        <v>9.8357142857142893E-2</v>
      </c>
      <c r="K131" s="71">
        <f t="shared" si="49"/>
        <v>0.34803921568627461</v>
      </c>
      <c r="L131" s="96">
        <f t="shared" si="23"/>
        <v>491727.54577927204</v>
      </c>
      <c r="M131" s="96">
        <f t="shared" si="46"/>
        <v>-4550.5863947368343</v>
      </c>
      <c r="N131" s="96">
        <f t="shared" si="24"/>
        <v>491727.54577927204</v>
      </c>
      <c r="O131" s="96">
        <f t="shared" si="25"/>
        <v>978904.50516380719</v>
      </c>
      <c r="P131" s="96">
        <f t="shared" si="47"/>
        <v>902698.50819702446</v>
      </c>
      <c r="Q131" s="97">
        <f t="shared" si="27"/>
        <v>-0.27839746442017926</v>
      </c>
      <c r="R131" s="97">
        <f t="shared" si="28"/>
        <v>6.1296630345915966E-4</v>
      </c>
      <c r="S131" s="71">
        <f t="shared" si="29"/>
        <v>-6.1296630345915966E-4</v>
      </c>
      <c r="T131" s="98">
        <f t="shared" si="30"/>
        <v>0.92215175579968278</v>
      </c>
      <c r="U131" s="99">
        <f t="shared" si="31"/>
        <v>2.5903139207856256E-3</v>
      </c>
      <c r="V131" s="93" t="str">
        <f t="shared" si="32"/>
        <v>SI</v>
      </c>
      <c r="W131" s="95">
        <f t="shared" si="33"/>
        <v>-978.90450516380724</v>
      </c>
      <c r="X131" s="95">
        <f t="shared" si="34"/>
        <v>0.90269850819702446</v>
      </c>
      <c r="Y131" s="95">
        <f t="shared" si="35"/>
        <v>-0.90269850819702446</v>
      </c>
      <c r="Z131" s="95">
        <f t="shared" si="36"/>
        <v>983.45509155854404</v>
      </c>
      <c r="AA131" s="93" t="str">
        <f t="shared" si="37"/>
        <v/>
      </c>
      <c r="AB131" s="100"/>
      <c r="AC131" s="71"/>
      <c r="AD131" s="39"/>
    </row>
    <row r="132" spans="1:30" ht="18.75" x14ac:dyDescent="0.25">
      <c r="A132" s="39"/>
      <c r="B132" s="39"/>
      <c r="C132" s="94">
        <f t="shared" si="50"/>
        <v>-1.0000000000000002E-3</v>
      </c>
      <c r="D132" s="94">
        <f t="shared" si="40"/>
        <v>6.7500000000000004E-2</v>
      </c>
      <c r="E132" s="94">
        <f t="shared" si="42"/>
        <v>7.4662921348314631E-3</v>
      </c>
      <c r="F132" s="93" t="s">
        <v>107</v>
      </c>
      <c r="G132" s="95">
        <f t="shared" si="48"/>
        <v>5.1970802919707921</v>
      </c>
      <c r="H132" s="71">
        <f t="shared" si="43"/>
        <v>6.9166666666666687</v>
      </c>
      <c r="I132" s="71">
        <f t="shared" si="44"/>
        <v>4.4958333333333353</v>
      </c>
      <c r="J132" s="71">
        <f t="shared" si="45"/>
        <v>0.1190476190476191</v>
      </c>
      <c r="K132" s="71">
        <f t="shared" si="49"/>
        <v>0.35</v>
      </c>
      <c r="L132" s="96">
        <f t="shared" si="23"/>
        <v>491727.54577927204</v>
      </c>
      <c r="M132" s="96">
        <f t="shared" si="46"/>
        <v>-6110.9002433089918</v>
      </c>
      <c r="N132" s="96">
        <f t="shared" si="24"/>
        <v>491727.54577927204</v>
      </c>
      <c r="O132" s="96">
        <f t="shared" si="25"/>
        <v>977344.1913152351</v>
      </c>
      <c r="P132" s="96">
        <f t="shared" si="47"/>
        <v>1211064.4549345523</v>
      </c>
      <c r="Q132" s="97">
        <f t="shared" si="27"/>
        <v>-0.27795371590655943</v>
      </c>
      <c r="R132" s="97">
        <f t="shared" si="28"/>
        <v>8.2235840144978924E-4</v>
      </c>
      <c r="S132" s="71">
        <f t="shared" si="29"/>
        <v>-8.2235840144978924E-4</v>
      </c>
      <c r="T132" s="98">
        <f t="shared" si="30"/>
        <v>1.2391381313729346</v>
      </c>
      <c r="U132" s="99">
        <f t="shared" si="31"/>
        <v>3.4807250881262208E-3</v>
      </c>
      <c r="V132" s="93" t="str">
        <f t="shared" si="32"/>
        <v>SI</v>
      </c>
      <c r="W132" s="95">
        <f t="shared" si="33"/>
        <v>-977.34419131523509</v>
      </c>
      <c r="X132" s="95">
        <f t="shared" si="34"/>
        <v>1.2110644549345524</v>
      </c>
      <c r="Y132" s="95">
        <f t="shared" si="35"/>
        <v>-1.2110644549345524</v>
      </c>
      <c r="Z132" s="95">
        <f t="shared" si="36"/>
        <v>983.45509155854404</v>
      </c>
      <c r="AA132" s="93" t="str">
        <f t="shared" si="37"/>
        <v/>
      </c>
      <c r="AB132" s="100"/>
      <c r="AC132" s="71"/>
      <c r="AD132" s="39"/>
    </row>
    <row r="133" spans="1:30" ht="18.75" x14ac:dyDescent="0.25">
      <c r="A133" s="39"/>
      <c r="B133" s="39"/>
      <c r="C133" s="94">
        <f t="shared" si="50"/>
        <v>-1.1000000000000003E-3</v>
      </c>
      <c r="D133" s="94">
        <f t="shared" si="40"/>
        <v>6.7500000000000004E-2</v>
      </c>
      <c r="E133" s="94">
        <f t="shared" si="42"/>
        <v>7.3786516853932551E-3</v>
      </c>
      <c r="F133" s="93" t="s">
        <v>107</v>
      </c>
      <c r="G133" s="95">
        <f t="shared" si="48"/>
        <v>5.7084548104956525</v>
      </c>
      <c r="H133" s="71">
        <f t="shared" si="43"/>
        <v>8.2017833333333368</v>
      </c>
      <c r="I133" s="71">
        <f t="shared" si="44"/>
        <v>5.84586291666667</v>
      </c>
      <c r="J133" s="71">
        <f t="shared" si="45"/>
        <v>0.14116666666666675</v>
      </c>
      <c r="K133" s="71">
        <f t="shared" si="49"/>
        <v>0.35204081632653061</v>
      </c>
      <c r="L133" s="96">
        <f t="shared" si="23"/>
        <v>491727.54577927204</v>
      </c>
      <c r="M133" s="96">
        <f t="shared" si="46"/>
        <v>-7959.3166190476577</v>
      </c>
      <c r="N133" s="96">
        <f t="shared" si="24"/>
        <v>491727.54577927204</v>
      </c>
      <c r="O133" s="96">
        <f t="shared" si="25"/>
        <v>975495.77493949642</v>
      </c>
      <c r="P133" s="96">
        <f t="shared" si="47"/>
        <v>1575868.2087701708</v>
      </c>
      <c r="Q133" s="97">
        <f t="shared" si="27"/>
        <v>-0.27742803191033322</v>
      </c>
      <c r="R133" s="97">
        <f t="shared" si="28"/>
        <v>1.0700738972062509E-3</v>
      </c>
      <c r="S133" s="71">
        <f t="shared" si="29"/>
        <v>-1.0700738972062509E-3</v>
      </c>
      <c r="T133" s="98">
        <f t="shared" si="30"/>
        <v>1.6154536485490278</v>
      </c>
      <c r="U133" s="99">
        <f t="shared" si="31"/>
        <v>4.5377911476096287E-3</v>
      </c>
      <c r="V133" s="93" t="str">
        <f t="shared" si="32"/>
        <v>SI</v>
      </c>
      <c r="W133" s="95">
        <f t="shared" si="33"/>
        <v>-975.49577493949641</v>
      </c>
      <c r="X133" s="95">
        <f t="shared" si="34"/>
        <v>1.5758682087701708</v>
      </c>
      <c r="Y133" s="95">
        <f t="shared" si="35"/>
        <v>-1.5758682087701708</v>
      </c>
      <c r="Z133" s="95">
        <f t="shared" si="36"/>
        <v>983.45509155854404</v>
      </c>
      <c r="AA133" s="93" t="str">
        <f t="shared" si="37"/>
        <v/>
      </c>
      <c r="AB133" s="100"/>
      <c r="AC133" s="71"/>
      <c r="AD133" s="39"/>
    </row>
    <row r="134" spans="1:30" ht="18.75" x14ac:dyDescent="0.25">
      <c r="A134" s="39"/>
      <c r="B134" s="39"/>
      <c r="C134" s="94">
        <f t="shared" si="50"/>
        <v>-1.2000000000000003E-3</v>
      </c>
      <c r="D134" s="94">
        <f t="shared" si="40"/>
        <v>6.7500000000000004E-2</v>
      </c>
      <c r="E134" s="94">
        <f t="shared" si="42"/>
        <v>7.2910112359550576E-3</v>
      </c>
      <c r="F134" s="93" t="s">
        <v>107</v>
      </c>
      <c r="G134" s="95">
        <f t="shared" si="48"/>
        <v>6.2183406113537103</v>
      </c>
      <c r="H134" s="71">
        <f t="shared" si="43"/>
        <v>9.5616000000000057</v>
      </c>
      <c r="I134" s="71">
        <f t="shared" si="44"/>
        <v>7.4102400000000044</v>
      </c>
      <c r="J134" s="71">
        <f t="shared" si="45"/>
        <v>0.16457142857142867</v>
      </c>
      <c r="K134" s="71">
        <f t="shared" si="49"/>
        <v>0.35416666666666685</v>
      </c>
      <c r="L134" s="96">
        <f t="shared" si="23"/>
        <v>491727.54577927204</v>
      </c>
      <c r="M134" s="96">
        <f t="shared" si="46"/>
        <v>-10107.738550218342</v>
      </c>
      <c r="N134" s="96">
        <f t="shared" si="24"/>
        <v>491727.54577927204</v>
      </c>
      <c r="O134" s="96">
        <f t="shared" si="25"/>
        <v>973347.35300832568</v>
      </c>
      <c r="P134" s="96">
        <f t="shared" si="47"/>
        <v>1999287.1446485072</v>
      </c>
      <c r="Q134" s="97">
        <f t="shared" si="27"/>
        <v>-0.2768170272464589</v>
      </c>
      <c r="R134" s="97">
        <f t="shared" si="28"/>
        <v>1.3575913103659799E-3</v>
      </c>
      <c r="S134" s="71">
        <f t="shared" si="29"/>
        <v>-1.3575913103659799E-3</v>
      </c>
      <c r="T134" s="98">
        <f t="shared" si="30"/>
        <v>2.0540325490887796</v>
      </c>
      <c r="U134" s="99">
        <f t="shared" si="31"/>
        <v>5.7697543513729769E-3</v>
      </c>
      <c r="V134" s="93" t="str">
        <f t="shared" si="32"/>
        <v>SI</v>
      </c>
      <c r="W134" s="95">
        <f t="shared" si="33"/>
        <v>-973.34735300832563</v>
      </c>
      <c r="X134" s="95">
        <f t="shared" si="34"/>
        <v>1.9992871446485072</v>
      </c>
      <c r="Y134" s="95">
        <f t="shared" si="35"/>
        <v>-1.9992871446485072</v>
      </c>
      <c r="Z134" s="95">
        <f t="shared" si="36"/>
        <v>983.45509155854404</v>
      </c>
      <c r="AA134" s="93" t="str">
        <f t="shared" si="37"/>
        <v/>
      </c>
      <c r="AB134" s="100"/>
      <c r="AC134" s="71"/>
      <c r="AD134" s="39"/>
    </row>
    <row r="135" spans="1:30" ht="18.75" x14ac:dyDescent="0.25">
      <c r="A135" s="39"/>
      <c r="B135" s="39"/>
      <c r="C135" s="94">
        <f t="shared" si="50"/>
        <v>-1.3000000000000004E-3</v>
      </c>
      <c r="D135" s="94">
        <f t="shared" si="40"/>
        <v>6.7500000000000004E-2</v>
      </c>
      <c r="E135" s="94">
        <f t="shared" si="42"/>
        <v>7.2033707865168627E-3</v>
      </c>
      <c r="F135" s="93" t="s">
        <v>107</v>
      </c>
      <c r="G135" s="95">
        <f t="shared" si="48"/>
        <v>6.7267441860464601</v>
      </c>
      <c r="H135" s="71">
        <f t="shared" si="43"/>
        <v>10.987816666666667</v>
      </c>
      <c r="I135" s="71">
        <f t="shared" si="44"/>
        <v>9.1935295833333388</v>
      </c>
      <c r="J135" s="71">
        <f t="shared" si="45"/>
        <v>0.18911904761904766</v>
      </c>
      <c r="K135" s="71">
        <f t="shared" si="49"/>
        <v>0.35638297872340396</v>
      </c>
      <c r="L135" s="96">
        <f t="shared" si="23"/>
        <v>491727.54577927204</v>
      </c>
      <c r="M135" s="96">
        <f t="shared" si="46"/>
        <v>-12565.079419573549</v>
      </c>
      <c r="N135" s="96">
        <f t="shared" si="24"/>
        <v>491727.54577927204</v>
      </c>
      <c r="O135" s="96">
        <f t="shared" si="25"/>
        <v>970890.01213897055</v>
      </c>
      <c r="P135" s="96">
        <f t="shared" si="47"/>
        <v>2482893.6550822705</v>
      </c>
      <c r="Q135" s="97">
        <f t="shared" si="27"/>
        <v>-0.2761181669759874</v>
      </c>
      <c r="R135" s="97">
        <f t="shared" si="28"/>
        <v>1.6859783546975819E-3</v>
      </c>
      <c r="S135" s="71">
        <f t="shared" si="29"/>
        <v>-1.6859783546975819E-3</v>
      </c>
      <c r="T135" s="98">
        <f t="shared" si="30"/>
        <v>2.5573377252199765</v>
      </c>
      <c r="U135" s="99">
        <f t="shared" si="31"/>
        <v>7.1835329360111699E-3</v>
      </c>
      <c r="V135" s="93" t="str">
        <f t="shared" si="32"/>
        <v>SI</v>
      </c>
      <c r="W135" s="95">
        <f t="shared" si="33"/>
        <v>-970.89001213897052</v>
      </c>
      <c r="X135" s="95">
        <f t="shared" si="34"/>
        <v>2.4828936550822704</v>
      </c>
      <c r="Y135" s="95">
        <f t="shared" si="35"/>
        <v>-2.4828936550822704</v>
      </c>
      <c r="Z135" s="95">
        <f t="shared" si="36"/>
        <v>983.45509155854404</v>
      </c>
      <c r="AA135" s="93" t="str">
        <f t="shared" si="37"/>
        <v/>
      </c>
      <c r="AB135" s="100"/>
      <c r="AC135" s="71"/>
      <c r="AD135" s="39"/>
    </row>
    <row r="136" spans="1:30" ht="18.75" x14ac:dyDescent="0.25">
      <c r="A136" s="39"/>
      <c r="B136" s="39"/>
      <c r="C136" s="94">
        <f t="shared" si="50"/>
        <v>-1.4000000000000004E-3</v>
      </c>
      <c r="D136" s="94">
        <f t="shared" si="40"/>
        <v>6.7500000000000004E-2</v>
      </c>
      <c r="E136" s="94">
        <f t="shared" si="42"/>
        <v>7.1157303370786565E-3</v>
      </c>
      <c r="F136" s="93" t="s">
        <v>107</v>
      </c>
      <c r="G136" s="95">
        <f t="shared" si="48"/>
        <v>7.2336719883889486</v>
      </c>
      <c r="H136" s="71">
        <f t="shared" si="43"/>
        <v>12.472133333333339</v>
      </c>
      <c r="I136" s="71">
        <f t="shared" si="44"/>
        <v>11.197806666666672</v>
      </c>
      <c r="J136" s="71">
        <f t="shared" si="45"/>
        <v>0.21466666666666678</v>
      </c>
      <c r="K136" s="71">
        <f t="shared" si="49"/>
        <v>0.35869565217391319</v>
      </c>
      <c r="L136" s="96">
        <f t="shared" si="23"/>
        <v>491727.54577927204</v>
      </c>
      <c r="M136" s="96">
        <f t="shared" si="46"/>
        <v>-15337.284659893528</v>
      </c>
      <c r="N136" s="96">
        <f t="shared" si="24"/>
        <v>491727.54577927204</v>
      </c>
      <c r="O136" s="96">
        <f t="shared" si="25"/>
        <v>968117.80689865048</v>
      </c>
      <c r="P136" s="96">
        <f t="shared" si="47"/>
        <v>3027661.4835881293</v>
      </c>
      <c r="Q136" s="97">
        <f t="shared" si="27"/>
        <v>-0.27532976023591599</v>
      </c>
      <c r="R136" s="97">
        <f t="shared" si="28"/>
        <v>2.0558962387424583E-3</v>
      </c>
      <c r="S136" s="71">
        <f t="shared" si="29"/>
        <v>-2.0558962387424583E-3</v>
      </c>
      <c r="T136" s="98">
        <f t="shared" si="30"/>
        <v>3.1273688615305955</v>
      </c>
      <c r="U136" s="99">
        <f t="shared" si="31"/>
        <v>8.7847439930634711E-3</v>
      </c>
      <c r="V136" s="93" t="str">
        <f t="shared" si="32"/>
        <v>SI</v>
      </c>
      <c r="W136" s="95">
        <f t="shared" si="33"/>
        <v>-968.11780689865043</v>
      </c>
      <c r="X136" s="95">
        <f t="shared" si="34"/>
        <v>3.0276614835881293</v>
      </c>
      <c r="Y136" s="95">
        <f t="shared" si="35"/>
        <v>-3.0276614835881293</v>
      </c>
      <c r="Z136" s="95">
        <f t="shared" si="36"/>
        <v>983.45509155854404</v>
      </c>
      <c r="AA136" s="93" t="str">
        <f t="shared" si="37"/>
        <v/>
      </c>
      <c r="AB136" s="100"/>
      <c r="AC136" s="71"/>
      <c r="AD136" s="39"/>
    </row>
    <row r="137" spans="1:30" ht="18.75" x14ac:dyDescent="0.25">
      <c r="A137" s="39"/>
      <c r="B137" s="39"/>
      <c r="C137" s="94">
        <f t="shared" si="50"/>
        <v>-1.5000000000000005E-3</v>
      </c>
      <c r="D137" s="94">
        <f t="shared" si="40"/>
        <v>6.7500000000000004E-2</v>
      </c>
      <c r="E137" s="94">
        <f t="shared" si="42"/>
        <v>7.0280898876404476E-3</v>
      </c>
      <c r="F137" s="93" t="s">
        <v>107</v>
      </c>
      <c r="G137" s="95">
        <f t="shared" si="48"/>
        <v>7.7391304347826235</v>
      </c>
      <c r="H137" s="71">
        <f t="shared" si="43"/>
        <v>14.006250000000005</v>
      </c>
      <c r="I137" s="71">
        <f t="shared" si="44"/>
        <v>13.42265625000001</v>
      </c>
      <c r="J137" s="71">
        <f t="shared" si="45"/>
        <v>0.24107142857142869</v>
      </c>
      <c r="K137" s="71">
        <f t="shared" si="49"/>
        <v>0.36111111111111105</v>
      </c>
      <c r="L137" s="96">
        <f t="shared" si="23"/>
        <v>491727.54577927204</v>
      </c>
      <c r="M137" s="96">
        <f t="shared" si="46"/>
        <v>-18427.353260869604</v>
      </c>
      <c r="N137" s="96">
        <f t="shared" si="24"/>
        <v>491727.54577927204</v>
      </c>
      <c r="O137" s="96">
        <f t="shared" si="25"/>
        <v>965027.73829767446</v>
      </c>
      <c r="P137" s="96">
        <f t="shared" si="47"/>
        <v>3633971.986176759</v>
      </c>
      <c r="Q137" s="97">
        <f t="shared" si="27"/>
        <v>-0.27445095412269643</v>
      </c>
      <c r="R137" s="97">
        <f t="shared" si="28"/>
        <v>2.467603917602498E-3</v>
      </c>
      <c r="S137" s="71">
        <f t="shared" si="29"/>
        <v>-2.467603917602498E-3</v>
      </c>
      <c r="T137" s="98">
        <f t="shared" si="30"/>
        <v>3.7656658373231302</v>
      </c>
      <c r="U137" s="99">
        <f t="shared" si="31"/>
        <v>1.0577713026188568E-2</v>
      </c>
      <c r="V137" s="93" t="str">
        <f t="shared" si="32"/>
        <v>SI</v>
      </c>
      <c r="W137" s="95">
        <f t="shared" si="33"/>
        <v>-965.02773829767443</v>
      </c>
      <c r="X137" s="95">
        <f t="shared" si="34"/>
        <v>3.6339719861767592</v>
      </c>
      <c r="Y137" s="95">
        <f t="shared" si="35"/>
        <v>-3.6339719861767592</v>
      </c>
      <c r="Z137" s="95">
        <f t="shared" si="36"/>
        <v>983.45509155854404</v>
      </c>
      <c r="AA137" s="93" t="str">
        <f t="shared" si="37"/>
        <v/>
      </c>
      <c r="AB137" s="100"/>
      <c r="AC137" s="71"/>
      <c r="AD137" s="39"/>
    </row>
    <row r="138" spans="1:30" ht="18.75" x14ac:dyDescent="0.25">
      <c r="A138" s="39"/>
      <c r="B138" s="39"/>
      <c r="C138" s="94">
        <f t="shared" si="50"/>
        <v>-1.6000000000000005E-3</v>
      </c>
      <c r="D138" s="94">
        <f t="shared" si="40"/>
        <v>6.7500000000000004E-2</v>
      </c>
      <c r="E138" s="94">
        <f t="shared" si="42"/>
        <v>6.9404494382022484E-3</v>
      </c>
      <c r="F138" s="93" t="s">
        <v>107</v>
      </c>
      <c r="G138" s="95">
        <f t="shared" si="48"/>
        <v>8.2431259044862486</v>
      </c>
      <c r="H138" s="71">
        <f t="shared" si="43"/>
        <v>15.581866666666674</v>
      </c>
      <c r="I138" s="71">
        <f t="shared" si="44"/>
        <v>15.865173333333347</v>
      </c>
      <c r="J138" s="71">
        <f t="shared" si="45"/>
        <v>0.26819047619047631</v>
      </c>
      <c r="K138" s="71">
        <f t="shared" si="49"/>
        <v>0.36363636363636365</v>
      </c>
      <c r="L138" s="96">
        <f t="shared" si="23"/>
        <v>491727.54577927204</v>
      </c>
      <c r="M138" s="96">
        <f t="shared" si="46"/>
        <v>-21835.35908924264</v>
      </c>
      <c r="N138" s="96">
        <f t="shared" si="24"/>
        <v>491727.54577927204</v>
      </c>
      <c r="O138" s="96">
        <f t="shared" si="25"/>
        <v>961619.73246930144</v>
      </c>
      <c r="P138" s="96">
        <f t="shared" si="47"/>
        <v>4301620.3217967898</v>
      </c>
      <c r="Q138" s="97">
        <f t="shared" si="27"/>
        <v>-0.2734817276288522</v>
      </c>
      <c r="R138" s="97">
        <f t="shared" si="28"/>
        <v>2.9209622964847947E-3</v>
      </c>
      <c r="S138" s="71">
        <f t="shared" si="29"/>
        <v>-2.9209622964847947E-3</v>
      </c>
      <c r="T138" s="98">
        <f t="shared" si="30"/>
        <v>4.4733070428482646</v>
      </c>
      <c r="U138" s="99">
        <f t="shared" si="31"/>
        <v>1.256546922148389E-2</v>
      </c>
      <c r="V138" s="93" t="str">
        <f t="shared" si="32"/>
        <v>SI</v>
      </c>
      <c r="W138" s="95">
        <f t="shared" si="33"/>
        <v>-961.61973246930143</v>
      </c>
      <c r="X138" s="95">
        <f t="shared" si="34"/>
        <v>4.3016203217967899</v>
      </c>
      <c r="Y138" s="95">
        <f t="shared" si="35"/>
        <v>-4.3016203217967899</v>
      </c>
      <c r="Z138" s="95">
        <f t="shared" si="36"/>
        <v>983.45509155854404</v>
      </c>
      <c r="AA138" s="93" t="str">
        <f t="shared" si="37"/>
        <v/>
      </c>
      <c r="AB138" s="100"/>
      <c r="AC138" s="71"/>
      <c r="AD138" s="39"/>
    </row>
    <row r="139" spans="1:30" ht="18.75" x14ac:dyDescent="0.25">
      <c r="A139" s="39"/>
      <c r="B139" s="123"/>
      <c r="C139" s="120">
        <f t="shared" si="50"/>
        <v>-1.7000000000000006E-3</v>
      </c>
      <c r="D139" s="120">
        <f t="shared" si="40"/>
        <v>6.7500000000000004E-2</v>
      </c>
      <c r="E139" s="120">
        <f t="shared" si="42"/>
        <v>6.8528089887640387E-3</v>
      </c>
      <c r="F139" s="121" t="s">
        <v>107</v>
      </c>
      <c r="G139" s="122">
        <f t="shared" si="48"/>
        <v>8.7456647398844325</v>
      </c>
      <c r="H139" s="97">
        <f t="shared" si="43"/>
        <v>17.19068333333334</v>
      </c>
      <c r="I139" s="97">
        <f t="shared" si="44"/>
        <v>18.519962916666678</v>
      </c>
      <c r="J139" s="97">
        <f t="shared" si="45"/>
        <v>0.29588095238095252</v>
      </c>
      <c r="K139" s="97">
        <f t="shared" si="49"/>
        <v>0.36627906976744196</v>
      </c>
      <c r="L139" s="96">
        <f t="shared" si="23"/>
        <v>491727.54577927204</v>
      </c>
      <c r="M139" s="124">
        <f t="shared" si="46"/>
        <v>-25558.472024084902</v>
      </c>
      <c r="N139" s="96">
        <f t="shared" si="24"/>
        <v>491727.54577927204</v>
      </c>
      <c r="O139" s="124">
        <f t="shared" si="25"/>
        <v>957896.6195344592</v>
      </c>
      <c r="P139" s="124">
        <f t="shared" si="47"/>
        <v>5029821.5726196468</v>
      </c>
      <c r="Q139" s="97">
        <f t="shared" si="27"/>
        <v>-0.27242288563216877</v>
      </c>
      <c r="R139" s="97">
        <f t="shared" si="28"/>
        <v>3.4154383866056826E-3</v>
      </c>
      <c r="S139" s="71">
        <f t="shared" si="29"/>
        <v>-3.4154383866056826E-3</v>
      </c>
      <c r="T139" s="98">
        <f t="shared" si="30"/>
        <v>5.2509023103810053</v>
      </c>
      <c r="U139" s="99">
        <f t="shared" si="31"/>
        <v>1.474972559095788E-2</v>
      </c>
      <c r="V139" s="93" t="str">
        <f t="shared" si="32"/>
        <v>SI</v>
      </c>
      <c r="W139" s="95">
        <f t="shared" si="33"/>
        <v>-957.89661953445921</v>
      </c>
      <c r="X139" s="95">
        <f t="shared" si="34"/>
        <v>5.0298215726196469</v>
      </c>
      <c r="Y139" s="95">
        <f t="shared" si="35"/>
        <v>-5.0298215726196469</v>
      </c>
      <c r="Z139" s="95">
        <f t="shared" si="36"/>
        <v>983.45509155854404</v>
      </c>
      <c r="AA139" s="93" t="str">
        <f t="shared" si="37"/>
        <v/>
      </c>
      <c r="AB139" s="100"/>
      <c r="AC139" s="71"/>
      <c r="AD139" s="39"/>
    </row>
    <row r="140" spans="1:30" ht="18.75" x14ac:dyDescent="0.25">
      <c r="A140" s="39"/>
      <c r="B140" s="123"/>
      <c r="C140" s="120">
        <f t="shared" si="50"/>
        <v>-1.8000000000000006E-3</v>
      </c>
      <c r="D140" s="120">
        <f t="shared" si="40"/>
        <v>6.7500000000000004E-2</v>
      </c>
      <c r="E140" s="120">
        <f t="shared" si="42"/>
        <v>6.7651685393258507E-3</v>
      </c>
      <c r="F140" s="121" t="s">
        <v>107</v>
      </c>
      <c r="G140" s="122">
        <f t="shared" si="48"/>
        <v>9.246753246753201</v>
      </c>
      <c r="H140" s="97">
        <f t="shared" si="43"/>
        <v>18.824400000000011</v>
      </c>
      <c r="I140" s="97">
        <f t="shared" si="44"/>
        <v>21.379140000000014</v>
      </c>
      <c r="J140" s="97">
        <f t="shared" si="45"/>
        <v>0.32400000000000023</v>
      </c>
      <c r="K140" s="97">
        <f t="shared" si="49"/>
        <v>0.36904761904761929</v>
      </c>
      <c r="L140" s="96">
        <f t="shared" si="23"/>
        <v>491727.54577927204</v>
      </c>
      <c r="M140" s="124">
        <f t="shared" si="46"/>
        <v>-29590.978909090776</v>
      </c>
      <c r="N140" s="96">
        <f t="shared" si="24"/>
        <v>491727.54577927204</v>
      </c>
      <c r="O140" s="124">
        <f t="shared" si="25"/>
        <v>953864.11264945334</v>
      </c>
      <c r="P140" s="124">
        <f t="shared" si="47"/>
        <v>5817216.7950399518</v>
      </c>
      <c r="Q140" s="97">
        <f t="shared" si="27"/>
        <v>-0.27127605293692575</v>
      </c>
      <c r="R140" s="97">
        <f t="shared" si="28"/>
        <v>3.9501094140480296E-3</v>
      </c>
      <c r="S140" s="71">
        <f t="shared" si="29"/>
        <v>-3.9501094140480296E-3</v>
      </c>
      <c r="T140" s="98">
        <f t="shared" si="30"/>
        <v>6.0985802043459296</v>
      </c>
      <c r="U140" s="99">
        <f t="shared" si="31"/>
        <v>1.7130843270634633E-2</v>
      </c>
      <c r="V140" s="93" t="str">
        <f t="shared" si="32"/>
        <v>SI</v>
      </c>
      <c r="W140" s="95">
        <f t="shared" si="33"/>
        <v>-953.86411264945332</v>
      </c>
      <c r="X140" s="95">
        <f t="shared" si="34"/>
        <v>5.8172167950399514</v>
      </c>
      <c r="Y140" s="95">
        <f t="shared" si="35"/>
        <v>-5.8172167950399514</v>
      </c>
      <c r="Z140" s="95">
        <f t="shared" si="36"/>
        <v>983.45509155854404</v>
      </c>
      <c r="AA140" s="93" t="str">
        <f t="shared" si="37"/>
        <v/>
      </c>
      <c r="AB140" s="100"/>
      <c r="AC140" s="71"/>
      <c r="AD140" s="39"/>
    </row>
    <row r="141" spans="1:30" ht="18.75" x14ac:dyDescent="0.25">
      <c r="A141" s="39"/>
      <c r="B141" s="123"/>
      <c r="C141" s="120">
        <f t="shared" si="50"/>
        <v>-1.9000000000000006E-3</v>
      </c>
      <c r="D141" s="120">
        <f t="shared" si="40"/>
        <v>6.7500000000000004E-2</v>
      </c>
      <c r="E141" s="120">
        <f t="shared" si="42"/>
        <v>6.6775280898876428E-3</v>
      </c>
      <c r="F141" s="121" t="s">
        <v>107</v>
      </c>
      <c r="G141" s="122">
        <f t="shared" si="48"/>
        <v>9.7463976945244895</v>
      </c>
      <c r="H141" s="97">
        <f t="shared" si="43"/>
        <v>20.474716666666673</v>
      </c>
      <c r="I141" s="97">
        <f t="shared" si="44"/>
        <v>24.432329583333349</v>
      </c>
      <c r="J141" s="97">
        <f t="shared" si="45"/>
        <v>0.35240476190476205</v>
      </c>
      <c r="K141" s="97">
        <f t="shared" si="49"/>
        <v>0.37195121951219501</v>
      </c>
      <c r="L141" s="96">
        <f t="shared" si="23"/>
        <v>491727.54577927204</v>
      </c>
      <c r="M141" s="124">
        <f t="shared" si="46"/>
        <v>-33924.30432372717</v>
      </c>
      <c r="N141" s="96">
        <f t="shared" si="24"/>
        <v>491727.54577927204</v>
      </c>
      <c r="O141" s="124">
        <f t="shared" si="25"/>
        <v>949530.78723481693</v>
      </c>
      <c r="P141" s="124">
        <f t="shared" si="47"/>
        <v>6661879.0022552162</v>
      </c>
      <c r="Q141" s="97">
        <f t="shared" si="27"/>
        <v>-0.27004366836664484</v>
      </c>
      <c r="R141" s="97">
        <f t="shared" si="28"/>
        <v>4.5236668821582908E-3</v>
      </c>
      <c r="S141" s="71">
        <f t="shared" si="29"/>
        <v>-4.5236668821582908E-3</v>
      </c>
      <c r="T141" s="98">
        <f t="shared" si="30"/>
        <v>7.0159694575629885</v>
      </c>
      <c r="U141" s="99">
        <f t="shared" si="31"/>
        <v>1.9707779375176933E-2</v>
      </c>
      <c r="V141" s="93" t="str">
        <f t="shared" si="32"/>
        <v>SI</v>
      </c>
      <c r="W141" s="95">
        <f t="shared" si="33"/>
        <v>-949.5307872348169</v>
      </c>
      <c r="X141" s="95">
        <f t="shared" si="34"/>
        <v>6.6618790022552163</v>
      </c>
      <c r="Y141" s="95">
        <f t="shared" si="35"/>
        <v>-6.6618790022552163</v>
      </c>
      <c r="Z141" s="95">
        <f t="shared" si="36"/>
        <v>983.45509155854404</v>
      </c>
      <c r="AA141" s="93" t="str">
        <f t="shared" si="37"/>
        <v/>
      </c>
      <c r="AB141" s="100"/>
      <c r="AC141" s="71"/>
      <c r="AD141" s="39"/>
    </row>
    <row r="142" spans="1:30" ht="18.75" x14ac:dyDescent="0.25">
      <c r="A142" s="39"/>
      <c r="B142" s="123"/>
      <c r="C142" s="120">
        <f t="shared" si="50"/>
        <v>-2.0000000000000005E-3</v>
      </c>
      <c r="D142" s="120">
        <f t="shared" si="40"/>
        <v>6.7500000000000004E-2</v>
      </c>
      <c r="E142" s="120">
        <f t="shared" si="42"/>
        <v>6.5898876404494374E-3</v>
      </c>
      <c r="F142" s="121" t="s">
        <v>107</v>
      </c>
      <c r="G142" s="122">
        <f t="shared" si="48"/>
        <v>10.24460431654677</v>
      </c>
      <c r="H142" s="97">
        <f t="shared" si="43"/>
        <v>22.13333333333334</v>
      </c>
      <c r="I142" s="97">
        <f t="shared" si="44"/>
        <v>27.666666666666675</v>
      </c>
      <c r="J142" s="97">
        <f t="shared" si="45"/>
        <v>0.3809523809523811</v>
      </c>
      <c r="K142" s="97">
        <f t="shared" si="49"/>
        <v>0.37500000000000011</v>
      </c>
      <c r="L142" s="96">
        <f t="shared" si="23"/>
        <v>491727.54577927204</v>
      </c>
      <c r="M142" s="124">
        <f t="shared" si="46"/>
        <v>-38547.031175059987</v>
      </c>
      <c r="N142" s="96">
        <f t="shared" si="24"/>
        <v>491727.54577927204</v>
      </c>
      <c r="O142" s="124">
        <f t="shared" si="25"/>
        <v>944908.06038348412</v>
      </c>
      <c r="P142" s="124">
        <f t="shared" si="47"/>
        <v>7561319.079274714</v>
      </c>
      <c r="Q142" s="97">
        <f t="shared" si="27"/>
        <v>-0.26872897890783726</v>
      </c>
      <c r="R142" s="97">
        <f t="shared" si="28"/>
        <v>5.1344205880604283E-3</v>
      </c>
      <c r="S142" s="71">
        <f t="shared" si="29"/>
        <v>-5.1344205880604283E-3</v>
      </c>
      <c r="T142" s="98">
        <f t="shared" si="30"/>
        <v>8.0021743874277114</v>
      </c>
      <c r="U142" s="99">
        <f t="shared" si="31"/>
        <v>2.2478017942212672E-2</v>
      </c>
      <c r="V142" s="93" t="str">
        <f t="shared" si="32"/>
        <v>SI</v>
      </c>
      <c r="W142" s="95">
        <f t="shared" si="33"/>
        <v>-944.9080603834841</v>
      </c>
      <c r="X142" s="95">
        <f t="shared" si="34"/>
        <v>7.561319079274714</v>
      </c>
      <c r="Y142" s="95">
        <f t="shared" si="35"/>
        <v>-7.561319079274714</v>
      </c>
      <c r="Z142" s="95">
        <f t="shared" si="36"/>
        <v>983.45509155854404</v>
      </c>
      <c r="AA142" s="93" t="str">
        <f t="shared" si="37"/>
        <v/>
      </c>
      <c r="AB142" s="100"/>
      <c r="AC142" s="71"/>
      <c r="AD142" s="39"/>
    </row>
    <row r="143" spans="1:30" ht="18.75" x14ac:dyDescent="0.25">
      <c r="A143" s="39"/>
      <c r="B143" s="123"/>
      <c r="C143" s="120">
        <f t="shared" si="50"/>
        <v>-2.1000000000000003E-3</v>
      </c>
      <c r="D143" s="120">
        <f t="shared" si="40"/>
        <v>6.7500000000000004E-2</v>
      </c>
      <c r="E143" s="120">
        <f t="shared" si="42"/>
        <v>6.5022471910112269E-3</v>
      </c>
      <c r="F143" s="121" t="s">
        <v>107</v>
      </c>
      <c r="G143" s="122">
        <f t="shared" si="48"/>
        <v>10.741379310344882</v>
      </c>
      <c r="H143" s="97">
        <f t="shared" ref="H143:H157" si="51">$H$142+$I$10*((-C143)-(-$C$142))*10^3</f>
        <v>23.793333333333337</v>
      </c>
      <c r="I143" s="97">
        <f t="shared" ref="I143:I157" si="52">$I$142+$I$10/2*((-C143*10^3)^2-(-$C$142*10^3)^2)</f>
        <v>31.069666666666659</v>
      </c>
      <c r="J143" s="97">
        <f t="shared" si="45"/>
        <v>0.40952380952380962</v>
      </c>
      <c r="K143" s="97">
        <f t="shared" si="49"/>
        <v>0.37818383167220393</v>
      </c>
      <c r="L143" s="96">
        <f t="shared" si="23"/>
        <v>491727.54577927204</v>
      </c>
      <c r="M143" s="124">
        <f t="shared" si="46"/>
        <v>-43447.447126437</v>
      </c>
      <c r="N143" s="96">
        <f t="shared" si="24"/>
        <v>491727.54577927204</v>
      </c>
      <c r="O143" s="124">
        <f t="shared" si="25"/>
        <v>940007.6444321071</v>
      </c>
      <c r="P143" s="124">
        <f t="shared" si="47"/>
        <v>8512996.5110616088</v>
      </c>
      <c r="Q143" s="97">
        <f t="shared" si="27"/>
        <v>-0.26733531551342959</v>
      </c>
      <c r="R143" s="97">
        <f t="shared" si="28"/>
        <v>5.780645426310186E-3</v>
      </c>
      <c r="S143" s="71">
        <f t="shared" si="29"/>
        <v>-5.780645426310186E-3</v>
      </c>
      <c r="T143" s="98">
        <f t="shared" si="30"/>
        <v>9.0563056178172037</v>
      </c>
      <c r="U143" s="99">
        <f t="shared" si="31"/>
        <v>2.5439060724205629E-2</v>
      </c>
      <c r="V143" s="93" t="str">
        <f t="shared" si="32"/>
        <v>SI</v>
      </c>
      <c r="W143" s="95">
        <f t="shared" si="33"/>
        <v>-940.0076444321071</v>
      </c>
      <c r="X143" s="95">
        <f t="shared" si="34"/>
        <v>8.5129965110616084</v>
      </c>
      <c r="Y143" s="95">
        <f t="shared" si="35"/>
        <v>-8.5129965110616084</v>
      </c>
      <c r="Z143" s="95">
        <f t="shared" si="36"/>
        <v>983.45509155854404</v>
      </c>
      <c r="AA143" s="93" t="str">
        <f t="shared" si="37"/>
        <v/>
      </c>
      <c r="AB143" s="100"/>
      <c r="AC143" s="71"/>
      <c r="AD143" s="39"/>
    </row>
    <row r="144" spans="1:30" ht="18.75" x14ac:dyDescent="0.25">
      <c r="A144" s="39"/>
      <c r="B144" s="123"/>
      <c r="C144" s="120">
        <f t="shared" si="50"/>
        <v>-2.2000000000000001E-3</v>
      </c>
      <c r="D144" s="120">
        <f t="shared" si="40"/>
        <v>6.7500000000000004E-2</v>
      </c>
      <c r="E144" s="120">
        <f t="shared" si="42"/>
        <v>6.4146067415730415E-3</v>
      </c>
      <c r="F144" s="121" t="s">
        <v>107</v>
      </c>
      <c r="G144" s="122">
        <f t="shared" si="48"/>
        <v>11.236728837876569</v>
      </c>
      <c r="H144" s="97">
        <f t="shared" si="51"/>
        <v>25.453333333333333</v>
      </c>
      <c r="I144" s="97">
        <f t="shared" si="52"/>
        <v>34.638666666666666</v>
      </c>
      <c r="J144" s="97">
        <f t="shared" si="45"/>
        <v>0.43809523809523815</v>
      </c>
      <c r="K144" s="97">
        <f t="shared" si="49"/>
        <v>0.3814229249011859</v>
      </c>
      <c r="L144" s="96">
        <f t="shared" si="23"/>
        <v>491727.54577927204</v>
      </c>
      <c r="M144" s="124">
        <f t="shared" si="46"/>
        <v>-48622.074796747766</v>
      </c>
      <c r="N144" s="96">
        <f t="shared" si="24"/>
        <v>491727.54577927204</v>
      </c>
      <c r="O144" s="124">
        <f t="shared" si="25"/>
        <v>934833.01676179632</v>
      </c>
      <c r="P144" s="124">
        <f t="shared" si="47"/>
        <v>9516023.3733514845</v>
      </c>
      <c r="Q144" s="97">
        <f t="shared" si="27"/>
        <v>-0.2658636671400349</v>
      </c>
      <c r="R144" s="97">
        <f t="shared" si="28"/>
        <v>6.4617384628723696E-3</v>
      </c>
      <c r="S144" s="71">
        <f t="shared" si="29"/>
        <v>-6.4617384628723696E-3</v>
      </c>
      <c r="T144" s="98">
        <f t="shared" si="30"/>
        <v>10.17938305850001</v>
      </c>
      <c r="U144" s="99">
        <f t="shared" si="31"/>
        <v>2.8593772636235984E-2</v>
      </c>
      <c r="V144" s="93" t="str">
        <f t="shared" si="32"/>
        <v>SI</v>
      </c>
      <c r="W144" s="95">
        <f t="shared" si="33"/>
        <v>-934.83301676179633</v>
      </c>
      <c r="X144" s="95">
        <f t="shared" si="34"/>
        <v>9.5160233733514854</v>
      </c>
      <c r="Y144" s="95">
        <f t="shared" si="35"/>
        <v>-9.5160233733514854</v>
      </c>
      <c r="Z144" s="95">
        <f t="shared" si="36"/>
        <v>983.45509155854404</v>
      </c>
      <c r="AA144" s="93" t="str">
        <f t="shared" si="37"/>
        <v/>
      </c>
      <c r="AB144" s="100"/>
      <c r="AC144" s="71"/>
      <c r="AD144" s="39"/>
    </row>
    <row r="145" spans="1:30" ht="18.75" x14ac:dyDescent="0.25">
      <c r="A145" s="39"/>
      <c r="B145" s="39"/>
      <c r="C145" s="94">
        <f t="shared" si="50"/>
        <v>-2.3E-3</v>
      </c>
      <c r="D145" s="94">
        <f t="shared" si="40"/>
        <v>6.7500000000000004E-2</v>
      </c>
      <c r="E145" s="94">
        <f t="shared" si="42"/>
        <v>6.3269662921348379E-3</v>
      </c>
      <c r="F145" s="93" t="s">
        <v>107</v>
      </c>
      <c r="G145" s="95">
        <f t="shared" si="48"/>
        <v>11.730659025787929</v>
      </c>
      <c r="H145" s="71">
        <f t="shared" si="51"/>
        <v>27.11333333333333</v>
      </c>
      <c r="I145" s="71">
        <f t="shared" si="52"/>
        <v>38.373666666666651</v>
      </c>
      <c r="J145" s="71">
        <f t="shared" si="45"/>
        <v>0.46666666666666667</v>
      </c>
      <c r="K145" s="71">
        <f t="shared" si="49"/>
        <v>0.38464951197870467</v>
      </c>
      <c r="L145" s="96">
        <f t="shared" si="23"/>
        <v>491727.54577927204</v>
      </c>
      <c r="M145" s="96">
        <f t="shared" si="46"/>
        <v>-54069.735625596768</v>
      </c>
      <c r="N145" s="96">
        <f t="shared" si="24"/>
        <v>491727.54577927204</v>
      </c>
      <c r="O145" s="96">
        <f t="shared" si="25"/>
        <v>929385.35593294725</v>
      </c>
      <c r="P145" s="96">
        <f t="shared" si="47"/>
        <v>10569974.082017899</v>
      </c>
      <c r="Q145" s="97">
        <f t="shared" si="27"/>
        <v>-0.26431436896664573</v>
      </c>
      <c r="R145" s="97">
        <f t="shared" si="28"/>
        <v>7.1774107100878353E-3</v>
      </c>
      <c r="S145" s="71">
        <f t="shared" si="29"/>
        <v>-7.1774107100878353E-3</v>
      </c>
      <c r="T145" s="98">
        <f t="shared" si="30"/>
        <v>11.373080084102913</v>
      </c>
      <c r="U145" s="99">
        <f t="shared" si="31"/>
        <v>3.1946854168828406E-2</v>
      </c>
      <c r="V145" s="93" t="str">
        <f t="shared" si="32"/>
        <v>SI</v>
      </c>
      <c r="W145" s="95">
        <f t="shared" si="33"/>
        <v>-929.38535593294728</v>
      </c>
      <c r="X145" s="95">
        <f t="shared" si="34"/>
        <v>10.569974082017898</v>
      </c>
      <c r="Y145" s="95">
        <f t="shared" si="35"/>
        <v>-10.569974082017898</v>
      </c>
      <c r="Z145" s="95">
        <f t="shared" si="36"/>
        <v>983.45509155854404</v>
      </c>
      <c r="AA145" s="93" t="str">
        <f t="shared" si="37"/>
        <v/>
      </c>
      <c r="AB145" s="100"/>
      <c r="AC145" s="71"/>
      <c r="AD145" s="39"/>
    </row>
    <row r="146" spans="1:30" ht="18.75" x14ac:dyDescent="0.25">
      <c r="A146" s="39"/>
      <c r="B146" s="39"/>
      <c r="C146" s="94">
        <f t="shared" si="50"/>
        <v>-2.3999999999999998E-3</v>
      </c>
      <c r="D146" s="94">
        <f t="shared" si="40"/>
        <v>6.7500000000000004E-2</v>
      </c>
      <c r="E146" s="94">
        <f t="shared" si="42"/>
        <v>6.2393258426966308E-3</v>
      </c>
      <c r="F146" s="93" t="s">
        <v>107</v>
      </c>
      <c r="G146" s="95">
        <f t="shared" si="48"/>
        <v>12.223175965665234</v>
      </c>
      <c r="H146" s="71">
        <f t="shared" si="51"/>
        <v>28.773333333333326</v>
      </c>
      <c r="I146" s="71">
        <f t="shared" si="52"/>
        <v>42.274666666666654</v>
      </c>
      <c r="J146" s="71">
        <f t="shared" si="45"/>
        <v>0.49523809523809514</v>
      </c>
      <c r="K146" s="71">
        <f t="shared" si="49"/>
        <v>0.38782051282051289</v>
      </c>
      <c r="L146" s="96">
        <f t="shared" si="23"/>
        <v>491727.54577927204</v>
      </c>
      <c r="M146" s="96">
        <f t="shared" si="46"/>
        <v>-59789.257796852617</v>
      </c>
      <c r="N146" s="96">
        <f t="shared" si="24"/>
        <v>491727.54577927204</v>
      </c>
      <c r="O146" s="96">
        <f t="shared" si="25"/>
        <v>923665.83376169147</v>
      </c>
      <c r="P146" s="96">
        <f t="shared" si="47"/>
        <v>11674426.659089103</v>
      </c>
      <c r="Q146" s="97">
        <f t="shared" si="27"/>
        <v>-0.26268775425420637</v>
      </c>
      <c r="R146" s="97">
        <f t="shared" si="28"/>
        <v>7.9273756290123686E-3</v>
      </c>
      <c r="S146" s="71">
        <f t="shared" si="29"/>
        <v>-7.9273756290123686E-3</v>
      </c>
      <c r="T146" s="98">
        <f t="shared" si="30"/>
        <v>12.639231887082163</v>
      </c>
      <c r="U146" s="99">
        <f t="shared" si="31"/>
        <v>3.5503460356972369E-2</v>
      </c>
      <c r="V146" s="93" t="str">
        <f t="shared" si="32"/>
        <v>SI</v>
      </c>
      <c r="W146" s="95">
        <f t="shared" si="33"/>
        <v>-923.66583376169149</v>
      </c>
      <c r="X146" s="95">
        <f t="shared" si="34"/>
        <v>11.674426659089104</v>
      </c>
      <c r="Y146" s="95">
        <f t="shared" si="35"/>
        <v>-11.674426659089104</v>
      </c>
      <c r="Z146" s="95">
        <f t="shared" si="36"/>
        <v>983.45509155854404</v>
      </c>
      <c r="AA146" s="93" t="str">
        <f t="shared" si="37"/>
        <v/>
      </c>
      <c r="AB146" s="100"/>
      <c r="AC146" s="71"/>
      <c r="AD146" s="39"/>
    </row>
    <row r="147" spans="1:30" ht="18.75" x14ac:dyDescent="0.25">
      <c r="A147" s="39"/>
      <c r="B147" s="39"/>
      <c r="C147" s="94">
        <f t="shared" si="50"/>
        <v>-2.4999999999999996E-3</v>
      </c>
      <c r="D147" s="94">
        <f t="shared" si="40"/>
        <v>6.7500000000000004E-2</v>
      </c>
      <c r="E147" s="94">
        <f t="shared" si="42"/>
        <v>6.1516853932584254E-3</v>
      </c>
      <c r="F147" s="93" t="s">
        <v>107</v>
      </c>
      <c r="G147" s="95">
        <f t="shared" si="48"/>
        <v>12.714285714285722</v>
      </c>
      <c r="H147" s="71">
        <f t="shared" si="51"/>
        <v>30.433333333333323</v>
      </c>
      <c r="I147" s="71">
        <f t="shared" si="52"/>
        <v>46.34166666666664</v>
      </c>
      <c r="J147" s="71">
        <f t="shared" si="45"/>
        <v>0.52380952380952372</v>
      </c>
      <c r="K147" s="71">
        <f t="shared" si="49"/>
        <v>0.39090909090909087</v>
      </c>
      <c r="L147" s="96">
        <f t="shared" si="23"/>
        <v>491727.54577927204</v>
      </c>
      <c r="M147" s="96">
        <f t="shared" si="46"/>
        <v>-65779.476190476213</v>
      </c>
      <c r="N147" s="96">
        <f t="shared" si="24"/>
        <v>491727.54577927204</v>
      </c>
      <c r="O147" s="96">
        <f t="shared" si="25"/>
        <v>917675.61536806787</v>
      </c>
      <c r="P147" s="96">
        <f t="shared" si="47"/>
        <v>12828962.698639452</v>
      </c>
      <c r="Q147" s="97">
        <f t="shared" si="27"/>
        <v>-0.26098415435931283</v>
      </c>
      <c r="R147" s="97">
        <f t="shared" si="28"/>
        <v>8.7113491062556642E-3</v>
      </c>
      <c r="S147" s="71">
        <f t="shared" si="29"/>
        <v>-8.7113491062556642E-3</v>
      </c>
      <c r="T147" s="98">
        <f t="shared" si="30"/>
        <v>13.979844820758281</v>
      </c>
      <c r="U147" s="99">
        <f t="shared" si="31"/>
        <v>3.9269227024601915E-2</v>
      </c>
      <c r="V147" s="93" t="str">
        <f t="shared" si="32"/>
        <v>SI</v>
      </c>
      <c r="W147" s="95">
        <f t="shared" si="33"/>
        <v>-917.67561536806784</v>
      </c>
      <c r="X147" s="95">
        <f t="shared" si="34"/>
        <v>12.828962698639453</v>
      </c>
      <c r="Y147" s="95">
        <f t="shared" si="35"/>
        <v>-12.828962698639453</v>
      </c>
      <c r="Z147" s="95">
        <f t="shared" si="36"/>
        <v>983.45509155854404</v>
      </c>
      <c r="AA147" s="93" t="str">
        <f t="shared" si="37"/>
        <v/>
      </c>
      <c r="AB147" s="100"/>
      <c r="AC147" s="71"/>
      <c r="AD147" s="39"/>
    </row>
    <row r="148" spans="1:30" ht="18.75" x14ac:dyDescent="0.25">
      <c r="A148" s="39"/>
      <c r="B148" s="39"/>
      <c r="C148" s="94">
        <f t="shared" si="50"/>
        <v>-2.5999999999999994E-3</v>
      </c>
      <c r="D148" s="94">
        <f t="shared" si="40"/>
        <v>6.7500000000000004E-2</v>
      </c>
      <c r="E148" s="94">
        <f t="shared" si="42"/>
        <v>6.0640449438202175E-3</v>
      </c>
      <c r="F148" s="93" t="s">
        <v>107</v>
      </c>
      <c r="G148" s="95">
        <f t="shared" si="48"/>
        <v>13.203994293865946</v>
      </c>
      <c r="H148" s="71">
        <f t="shared" si="51"/>
        <v>32.09333333333332</v>
      </c>
      <c r="I148" s="71">
        <f t="shared" si="52"/>
        <v>50.574666666666644</v>
      </c>
      <c r="J148" s="71">
        <f t="shared" si="45"/>
        <v>0.55238095238095219</v>
      </c>
      <c r="K148" s="71">
        <f t="shared" si="49"/>
        <v>0.3938992042440318</v>
      </c>
      <c r="L148" s="96">
        <f t="shared" si="23"/>
        <v>491727.54577927204</v>
      </c>
      <c r="M148" s="96">
        <f t="shared" si="46"/>
        <v>-72039.232334760047</v>
      </c>
      <c r="N148" s="96">
        <f t="shared" si="24"/>
        <v>491727.54577927204</v>
      </c>
      <c r="O148" s="96">
        <f t="shared" si="25"/>
        <v>911415.85922378395</v>
      </c>
      <c r="P148" s="96">
        <f t="shared" si="47"/>
        <v>14033167.333043858</v>
      </c>
      <c r="Q148" s="97">
        <f t="shared" si="27"/>
        <v>-0.25920389874779565</v>
      </c>
      <c r="R148" s="97">
        <f t="shared" si="28"/>
        <v>9.5290494310668241E-3</v>
      </c>
      <c r="S148" s="71">
        <f t="shared" si="29"/>
        <v>-9.5290494310668241E-3</v>
      </c>
      <c r="T148" s="98">
        <f t="shared" si="30"/>
        <v>15.397106810271373</v>
      </c>
      <c r="U148" s="99">
        <f t="shared" si="31"/>
        <v>4.3250300028852169E-2</v>
      </c>
      <c r="V148" s="93" t="str">
        <f t="shared" si="32"/>
        <v>SI</v>
      </c>
      <c r="W148" s="95">
        <f t="shared" si="33"/>
        <v>-911.41585922378397</v>
      </c>
      <c r="X148" s="95">
        <f t="shared" si="34"/>
        <v>14.033167333043858</v>
      </c>
      <c r="Y148" s="95">
        <f t="shared" si="35"/>
        <v>-14.033167333043858</v>
      </c>
      <c r="Z148" s="95">
        <f t="shared" si="36"/>
        <v>983.45509155854404</v>
      </c>
      <c r="AA148" s="93" t="str">
        <f t="shared" si="37"/>
        <v/>
      </c>
      <c r="AB148" s="100"/>
      <c r="AC148" s="71"/>
      <c r="AD148" s="39"/>
    </row>
    <row r="149" spans="1:30" ht="18.75" x14ac:dyDescent="0.25">
      <c r="A149" s="39"/>
      <c r="B149" s="39"/>
      <c r="C149" s="94">
        <f t="shared" si="50"/>
        <v>-2.6999999999999993E-3</v>
      </c>
      <c r="D149" s="94">
        <f t="shared" si="40"/>
        <v>6.7500000000000004E-2</v>
      </c>
      <c r="E149" s="94">
        <f t="shared" si="42"/>
        <v>5.9764044943820356E-3</v>
      </c>
      <c r="F149" s="93" t="s">
        <v>107</v>
      </c>
      <c r="G149" s="95">
        <f t="shared" si="48"/>
        <v>13.692307692307622</v>
      </c>
      <c r="H149" s="71">
        <f t="shared" si="51"/>
        <v>33.753333333333316</v>
      </c>
      <c r="I149" s="71">
        <f t="shared" si="52"/>
        <v>54.973666666666631</v>
      </c>
      <c r="J149" s="71">
        <f t="shared" si="45"/>
        <v>0.58095238095238066</v>
      </c>
      <c r="K149" s="71">
        <f t="shared" si="49"/>
        <v>0.39678202792956885</v>
      </c>
      <c r="L149" s="96">
        <f t="shared" ref="L149:L212" si="53">IF(E149&gt;=($M$10*10^-3),$M$14*$Q$12,IF(E149&gt;=(-$M$10*10^-3),$M$16*E149*$Q$12,-$M$14*$Q$12))</f>
        <v>491727.54577927204</v>
      </c>
      <c r="M149" s="96">
        <f t="shared" si="46"/>
        <v>-78567.374358973902</v>
      </c>
      <c r="N149" s="96">
        <f t="shared" ref="N149:N212" si="54">IF(D149&gt;=($M$10*10^-3),$M$14*$Q$11,IF(D149&gt;=(-$M$10*10^-3),$Q$11*$M$16*D149,-$M$14*$Q$11))</f>
        <v>491727.54577927204</v>
      </c>
      <c r="O149" s="96">
        <f t="shared" ref="O149:O212" si="55">L149+M149+N149</f>
        <v>904887.71719957027</v>
      </c>
      <c r="P149" s="96">
        <f t="shared" si="47"/>
        <v>15286629.199590832</v>
      </c>
      <c r="Q149" s="97">
        <f t="shared" ref="Q149:Q212" si="56">-O149/($C$6*$C$13*$I$10*$I$16)</f>
        <v>-0.25734731500818792</v>
      </c>
      <c r="R149" s="97">
        <f t="shared" ref="R149:R212" si="57">P149/($C$6*$C$13^2*$I$10)</f>
        <v>1.0380197272663368E-2</v>
      </c>
      <c r="S149" s="71">
        <f t="shared" ref="S149:S212" si="58">-1*R149</f>
        <v>-1.0380197272663368E-2</v>
      </c>
      <c r="T149" s="98">
        <f t="shared" ref="T149:T212" si="59">P149/O149</f>
        <v>16.89339893672069</v>
      </c>
      <c r="U149" s="99">
        <f t="shared" ref="U149:U212" si="60">T149/$C$13</f>
        <v>4.745336779977722E-2</v>
      </c>
      <c r="V149" s="93" t="str">
        <f t="shared" ref="V149:V212" si="61">IF(T149&gt;=0, IF(T149&lt;=$C$8/6, "SI", "NO"),IF(T149&gt; -$C$8/6, "SI", "NO"))</f>
        <v>SI</v>
      </c>
      <c r="W149" s="95">
        <f t="shared" ref="W149:W212" si="62">-O149/10^3</f>
        <v>-904.88771719957026</v>
      </c>
      <c r="X149" s="95">
        <f t="shared" ref="X149:X212" si="63">P149/10^6</f>
        <v>15.286629199590832</v>
      </c>
      <c r="Y149" s="95">
        <f t="shared" ref="Y149:Y212" si="64">-P149/10^6</f>
        <v>-15.286629199590832</v>
      </c>
      <c r="Z149" s="95">
        <f t="shared" ref="Z149:Z212" si="65">(L149+N149)/10^3</f>
        <v>983.45509155854404</v>
      </c>
      <c r="AA149" s="93" t="str">
        <f t="shared" ref="AA149:AA212" si="66">IF(Z149&lt;1,IF(Z149&gt;-1,"ROTTURA BILANCIATA",""),"")</f>
        <v/>
      </c>
      <c r="AB149" s="100"/>
      <c r="AC149" s="71"/>
      <c r="AD149" s="39"/>
    </row>
    <row r="150" spans="1:30" ht="18.75" x14ac:dyDescent="0.25">
      <c r="A150" s="39"/>
      <c r="B150" s="39"/>
      <c r="C150" s="94">
        <f t="shared" si="50"/>
        <v>-2.7999999999999991E-3</v>
      </c>
      <c r="D150" s="94">
        <f t="shared" ref="D150:D158" si="67">$M$8*10^-3</f>
        <v>6.7500000000000004E-2</v>
      </c>
      <c r="E150" s="94">
        <f t="shared" si="42"/>
        <v>5.8887640449438198E-3</v>
      </c>
      <c r="F150" s="93" t="s">
        <v>107</v>
      </c>
      <c r="G150" s="95">
        <f t="shared" si="48"/>
        <v>14.179231863442396</v>
      </c>
      <c r="H150" s="71">
        <f t="shared" si="51"/>
        <v>35.413333333333313</v>
      </c>
      <c r="I150" s="71">
        <f t="shared" si="52"/>
        <v>59.5386666666666</v>
      </c>
      <c r="J150" s="71">
        <f t="shared" si="45"/>
        <v>0.60952380952380925</v>
      </c>
      <c r="K150" s="71">
        <f t="shared" si="49"/>
        <v>0.39955357142857151</v>
      </c>
      <c r="L150" s="96">
        <f t="shared" si="53"/>
        <v>491727.54577927204</v>
      </c>
      <c r="M150" s="96">
        <f t="shared" si="46"/>
        <v>-85362.756946420093</v>
      </c>
      <c r="N150" s="96">
        <f t="shared" si="54"/>
        <v>491727.54577927204</v>
      </c>
      <c r="O150" s="96">
        <f t="shared" si="55"/>
        <v>898092.3346121239</v>
      </c>
      <c r="P150" s="96">
        <f t="shared" si="47"/>
        <v>16588940.407451361</v>
      </c>
      <c r="Q150" s="97">
        <f t="shared" si="56"/>
        <v>-0.25541472886507527</v>
      </c>
      <c r="R150" s="97">
        <f t="shared" si="57"/>
        <v>1.1264515657801842E-2</v>
      </c>
      <c r="S150" s="71">
        <f t="shared" si="58"/>
        <v>-1.1264515657801842E-2</v>
      </c>
      <c r="T150" s="98">
        <f t="shared" si="59"/>
        <v>18.47130831443511</v>
      </c>
      <c r="U150" s="99">
        <f t="shared" si="60"/>
        <v>5.1885697512458175E-2</v>
      </c>
      <c r="V150" s="93" t="str">
        <f t="shared" si="61"/>
        <v>SI</v>
      </c>
      <c r="W150" s="95">
        <f t="shared" si="62"/>
        <v>-898.09233461212386</v>
      </c>
      <c r="X150" s="95">
        <f t="shared" si="63"/>
        <v>16.588940407451361</v>
      </c>
      <c r="Y150" s="95">
        <f t="shared" si="64"/>
        <v>-16.588940407451361</v>
      </c>
      <c r="Z150" s="95">
        <f t="shared" si="65"/>
        <v>983.45509155854404</v>
      </c>
      <c r="AA150" s="93" t="str">
        <f t="shared" si="66"/>
        <v/>
      </c>
      <c r="AB150" s="100"/>
      <c r="AC150" s="71"/>
      <c r="AD150" s="39"/>
    </row>
    <row r="151" spans="1:30" ht="18.75" x14ac:dyDescent="0.25">
      <c r="A151" s="39"/>
      <c r="B151" s="39"/>
      <c r="C151" s="94">
        <f t="shared" si="50"/>
        <v>-2.8999999999999989E-3</v>
      </c>
      <c r="D151" s="94">
        <f t="shared" si="67"/>
        <v>6.7500000000000004E-2</v>
      </c>
      <c r="E151" s="94">
        <f t="shared" si="42"/>
        <v>5.8011235955056249E-3</v>
      </c>
      <c r="F151" s="93" t="s">
        <v>107</v>
      </c>
      <c r="G151" s="95">
        <f t="shared" si="48"/>
        <v>14.664772727272691</v>
      </c>
      <c r="H151" s="71">
        <f t="shared" si="51"/>
        <v>37.073333333333309</v>
      </c>
      <c r="I151" s="71">
        <f t="shared" si="52"/>
        <v>64.269666666666609</v>
      </c>
      <c r="J151" s="71">
        <f t="shared" si="45"/>
        <v>0.63809523809523772</v>
      </c>
      <c r="K151" s="71">
        <f t="shared" si="49"/>
        <v>0.40221307256819339</v>
      </c>
      <c r="L151" s="96">
        <f t="shared" si="53"/>
        <v>491727.54577927204</v>
      </c>
      <c r="M151" s="96">
        <f t="shared" si="46"/>
        <v>-92424.241287878496</v>
      </c>
      <c r="N151" s="96">
        <f t="shared" si="54"/>
        <v>491727.54577927204</v>
      </c>
      <c r="O151" s="96">
        <f t="shared" si="55"/>
        <v>891030.8502706656</v>
      </c>
      <c r="P151" s="96">
        <f t="shared" si="47"/>
        <v>17939696.504996285</v>
      </c>
      <c r="Q151" s="97">
        <f t="shared" si="56"/>
        <v>-0.25340646419233703</v>
      </c>
      <c r="R151" s="97">
        <f t="shared" si="57"/>
        <v>1.2181729948585091E-2</v>
      </c>
      <c r="S151" s="71">
        <f t="shared" si="58"/>
        <v>-1.2181729948585091E-2</v>
      </c>
      <c r="T151" s="98">
        <f t="shared" si="59"/>
        <v>20.133642398068261</v>
      </c>
      <c r="U151" s="99">
        <f t="shared" si="60"/>
        <v>5.6555175275472644E-2</v>
      </c>
      <c r="V151" s="93" t="str">
        <f t="shared" si="61"/>
        <v>SI</v>
      </c>
      <c r="W151" s="95">
        <f t="shared" si="62"/>
        <v>-891.03085027066561</v>
      </c>
      <c r="X151" s="95">
        <f t="shared" si="63"/>
        <v>17.939696504996284</v>
      </c>
      <c r="Y151" s="95">
        <f t="shared" si="64"/>
        <v>-17.939696504996284</v>
      </c>
      <c r="Z151" s="95">
        <f t="shared" si="65"/>
        <v>983.45509155854404</v>
      </c>
      <c r="AA151" s="93" t="str">
        <f t="shared" si="66"/>
        <v/>
      </c>
      <c r="AB151" s="100"/>
      <c r="AC151" s="71"/>
      <c r="AD151" s="39"/>
    </row>
    <row r="152" spans="1:30" ht="18.75" x14ac:dyDescent="0.25">
      <c r="A152" s="39"/>
      <c r="B152" s="39"/>
      <c r="C152" s="94">
        <f t="shared" si="50"/>
        <v>-2.9999999999999988E-3</v>
      </c>
      <c r="D152" s="94">
        <f t="shared" si="67"/>
        <v>6.7500000000000004E-2</v>
      </c>
      <c r="E152" s="94">
        <f t="shared" si="42"/>
        <v>5.7134831460674135E-3</v>
      </c>
      <c r="F152" s="93" t="s">
        <v>107</v>
      </c>
      <c r="G152" s="95">
        <f t="shared" si="48"/>
        <v>15.148936170212778</v>
      </c>
      <c r="H152" s="71">
        <f t="shared" si="51"/>
        <v>38.733333333333306</v>
      </c>
      <c r="I152" s="71">
        <f t="shared" si="52"/>
        <v>69.1666666666666</v>
      </c>
      <c r="J152" s="71">
        <f t="shared" si="45"/>
        <v>0.6666666666666663</v>
      </c>
      <c r="K152" s="71">
        <f t="shared" si="49"/>
        <v>0.40476190476190466</v>
      </c>
      <c r="L152" s="96">
        <f t="shared" si="53"/>
        <v>491727.54577927204</v>
      </c>
      <c r="M152" s="96">
        <f t="shared" si="46"/>
        <v>-99750.695035460987</v>
      </c>
      <c r="N152" s="96">
        <f t="shared" si="54"/>
        <v>491727.54577927204</v>
      </c>
      <c r="O152" s="96">
        <f t="shared" si="55"/>
        <v>883704.39652308309</v>
      </c>
      <c r="P152" s="96">
        <f t="shared" si="47"/>
        <v>19338496.44746241</v>
      </c>
      <c r="Q152" s="97">
        <f t="shared" si="56"/>
        <v>-0.25132284302626895</v>
      </c>
      <c r="R152" s="97">
        <f t="shared" si="57"/>
        <v>1.3131567820506338E-2</v>
      </c>
      <c r="S152" s="71">
        <f t="shared" si="58"/>
        <v>-1.3131567820506338E-2</v>
      </c>
      <c r="T152" s="98">
        <f t="shared" si="59"/>
        <v>21.883444875401015</v>
      </c>
      <c r="U152" s="99">
        <f t="shared" si="60"/>
        <v>6.1470350773598359E-2</v>
      </c>
      <c r="V152" s="93" t="str">
        <f t="shared" si="61"/>
        <v>SI</v>
      </c>
      <c r="W152" s="95">
        <f t="shared" si="62"/>
        <v>-883.70439652308312</v>
      </c>
      <c r="X152" s="95">
        <f t="shared" si="63"/>
        <v>19.338496447462411</v>
      </c>
      <c r="Y152" s="95">
        <f t="shared" si="64"/>
        <v>-19.338496447462411</v>
      </c>
      <c r="Z152" s="95">
        <f t="shared" si="65"/>
        <v>983.45509155854404</v>
      </c>
      <c r="AA152" s="93" t="str">
        <f t="shared" si="66"/>
        <v/>
      </c>
      <c r="AB152" s="100"/>
      <c r="AC152" s="71"/>
      <c r="AD152" s="39"/>
    </row>
    <row r="153" spans="1:30" ht="18.75" x14ac:dyDescent="0.25">
      <c r="A153" s="39"/>
      <c r="B153" s="39"/>
      <c r="C153" s="94">
        <f t="shared" si="50"/>
        <v>-3.0999999999999986E-3</v>
      </c>
      <c r="D153" s="94">
        <f t="shared" si="67"/>
        <v>6.7500000000000004E-2</v>
      </c>
      <c r="E153" s="94">
        <f t="shared" si="42"/>
        <v>5.6258426966292281E-3</v>
      </c>
      <c r="F153" s="93" t="s">
        <v>107</v>
      </c>
      <c r="G153" s="95">
        <f t="shared" si="48"/>
        <v>15.631728045325701</v>
      </c>
      <c r="H153" s="71">
        <f t="shared" si="51"/>
        <v>40.393333333333302</v>
      </c>
      <c r="I153" s="71">
        <f t="shared" si="52"/>
        <v>74.229666666666589</v>
      </c>
      <c r="J153" s="71">
        <f t="shared" si="45"/>
        <v>0.69523809523809477</v>
      </c>
      <c r="K153" s="71">
        <f t="shared" si="49"/>
        <v>0.40720282810428632</v>
      </c>
      <c r="L153" s="96">
        <f t="shared" si="53"/>
        <v>491727.54577927204</v>
      </c>
      <c r="M153" s="96">
        <f t="shared" si="46"/>
        <v>-107340.99225684546</v>
      </c>
      <c r="N153" s="96">
        <f t="shared" si="54"/>
        <v>491727.54577927204</v>
      </c>
      <c r="O153" s="96">
        <f t="shared" si="55"/>
        <v>876114.09930169862</v>
      </c>
      <c r="P153" s="96">
        <f t="shared" si="47"/>
        <v>20784942.564958543</v>
      </c>
      <c r="Q153" s="97">
        <f t="shared" si="56"/>
        <v>-0.24916418557859957</v>
      </c>
      <c r="R153" s="97">
        <f t="shared" si="57"/>
        <v>1.4113759240724064E-2</v>
      </c>
      <c r="S153" s="71">
        <f t="shared" si="58"/>
        <v>-1.4113759240724064E-2</v>
      </c>
      <c r="T153" s="98">
        <f t="shared" si="59"/>
        <v>23.724013323749787</v>
      </c>
      <c r="U153" s="99">
        <f t="shared" si="60"/>
        <v>6.6640486864465692E-2</v>
      </c>
      <c r="V153" s="93" t="str">
        <f t="shared" si="61"/>
        <v>SI</v>
      </c>
      <c r="W153" s="95">
        <f t="shared" si="62"/>
        <v>-876.11409930169862</v>
      </c>
      <c r="X153" s="95">
        <f t="shared" si="63"/>
        <v>20.784942564958541</v>
      </c>
      <c r="Y153" s="95">
        <f t="shared" si="64"/>
        <v>-20.784942564958541</v>
      </c>
      <c r="Z153" s="95">
        <f t="shared" si="65"/>
        <v>983.45509155854404</v>
      </c>
      <c r="AA153" s="93" t="str">
        <f t="shared" si="66"/>
        <v/>
      </c>
      <c r="AB153" s="100"/>
      <c r="AC153" s="71"/>
      <c r="AD153" s="39"/>
    </row>
    <row r="154" spans="1:30" ht="18.75" x14ac:dyDescent="0.25">
      <c r="A154" s="39"/>
      <c r="B154" s="39"/>
      <c r="C154" s="94">
        <f t="shared" si="50"/>
        <v>-3.1999999999999984E-3</v>
      </c>
      <c r="D154" s="94">
        <f t="shared" si="67"/>
        <v>6.7500000000000004E-2</v>
      </c>
      <c r="E154" s="94">
        <f t="shared" si="42"/>
        <v>5.5382022471910158E-3</v>
      </c>
      <c r="F154" s="93" t="s">
        <v>107</v>
      </c>
      <c r="G154" s="95">
        <f t="shared" si="48"/>
        <v>16.113154172560087</v>
      </c>
      <c r="H154" s="71">
        <f t="shared" si="51"/>
        <v>42.053333333333299</v>
      </c>
      <c r="I154" s="71">
        <f t="shared" si="52"/>
        <v>79.458666666666574</v>
      </c>
      <c r="J154" s="71">
        <f t="shared" ref="J154:J185" si="68">H154/($I$10*(-$I$12))</f>
        <v>0.72380952380952324</v>
      </c>
      <c r="K154" s="71">
        <f t="shared" si="49"/>
        <v>0.4095394736842104</v>
      </c>
      <c r="L154" s="96">
        <f t="shared" si="53"/>
        <v>491727.54577927204</v>
      </c>
      <c r="M154" s="96">
        <f t="shared" si="46"/>
        <v>-115194.01338991011</v>
      </c>
      <c r="N154" s="96">
        <f t="shared" si="54"/>
        <v>491727.54577927204</v>
      </c>
      <c r="O154" s="96">
        <f t="shared" si="55"/>
        <v>868261.07816863398</v>
      </c>
      <c r="P154" s="96">
        <f t="shared" si="47"/>
        <v>22278640.53081198</v>
      </c>
      <c r="Q154" s="97">
        <f t="shared" si="56"/>
        <v>-0.2469308102493917</v>
      </c>
      <c r="R154" s="97">
        <f t="shared" si="57"/>
        <v>1.5128036446568089E-2</v>
      </c>
      <c r="S154" s="71">
        <f t="shared" si="58"/>
        <v>-1.5128036446568089E-2</v>
      </c>
      <c r="T154" s="98">
        <f t="shared" si="59"/>
        <v>25.658918833264821</v>
      </c>
      <c r="U154" s="99">
        <f t="shared" si="60"/>
        <v>7.2075614700182075E-2</v>
      </c>
      <c r="V154" s="93" t="str">
        <f t="shared" si="61"/>
        <v>SI</v>
      </c>
      <c r="W154" s="95">
        <f t="shared" si="62"/>
        <v>-868.26107816863396</v>
      </c>
      <c r="X154" s="95">
        <f t="shared" si="63"/>
        <v>22.27864053081198</v>
      </c>
      <c r="Y154" s="95">
        <f t="shared" si="64"/>
        <v>-22.27864053081198</v>
      </c>
      <c r="Z154" s="95">
        <f t="shared" si="65"/>
        <v>983.45509155854404</v>
      </c>
      <c r="AA154" s="93" t="str">
        <f t="shared" si="66"/>
        <v/>
      </c>
      <c r="AB154" s="100"/>
      <c r="AC154" s="71"/>
      <c r="AD154" s="39"/>
    </row>
    <row r="155" spans="1:30" ht="18.75" x14ac:dyDescent="0.25">
      <c r="A155" s="39"/>
      <c r="B155" s="39"/>
      <c r="C155" s="94">
        <f t="shared" si="50"/>
        <v>-3.2999999999999982E-3</v>
      </c>
      <c r="D155" s="94">
        <f t="shared" si="67"/>
        <v>6.7500000000000004E-2</v>
      </c>
      <c r="E155" s="94">
        <f t="shared" si="42"/>
        <v>5.4505617977528131E-3</v>
      </c>
      <c r="F155" s="93" t="s">
        <v>107</v>
      </c>
      <c r="G155" s="95">
        <f t="shared" si="48"/>
        <v>16.593220338983031</v>
      </c>
      <c r="H155" s="71">
        <f t="shared" si="51"/>
        <v>43.713333333333296</v>
      </c>
      <c r="I155" s="71">
        <f t="shared" si="52"/>
        <v>84.853666666666541</v>
      </c>
      <c r="J155" s="71">
        <f t="shared" si="68"/>
        <v>0.75238095238095182</v>
      </c>
      <c r="K155" s="71">
        <f t="shared" ref="K155:K186" si="69">1-(I155/H155)/(-C155*10^3)</f>
        <v>0.41177598772535484</v>
      </c>
      <c r="L155" s="96">
        <f t="shared" si="53"/>
        <v>491727.54577927204</v>
      </c>
      <c r="M155" s="96">
        <f t="shared" si="46"/>
        <v>-123308.64519773985</v>
      </c>
      <c r="N155" s="96">
        <f t="shared" si="54"/>
        <v>491727.54577927204</v>
      </c>
      <c r="O155" s="96">
        <f t="shared" si="55"/>
        <v>860146.44636080414</v>
      </c>
      <c r="P155" s="96">
        <f t="shared" si="47"/>
        <v>23819199.330246687</v>
      </c>
      <c r="Q155" s="97">
        <f t="shared" si="56"/>
        <v>-0.24462303363983862</v>
      </c>
      <c r="R155" s="97">
        <f t="shared" si="57"/>
        <v>1.6174133924270872E-2</v>
      </c>
      <c r="S155" s="71">
        <f t="shared" si="58"/>
        <v>-1.6174133924270872E-2</v>
      </c>
      <c r="T155" s="98">
        <f t="shared" si="59"/>
        <v>27.692027829706674</v>
      </c>
      <c r="U155" s="99">
        <f t="shared" si="60"/>
        <v>7.778659502726594E-2</v>
      </c>
      <c r="V155" s="93" t="str">
        <f t="shared" si="61"/>
        <v>SI</v>
      </c>
      <c r="W155" s="95">
        <f t="shared" si="62"/>
        <v>-860.14644636080413</v>
      </c>
      <c r="X155" s="95">
        <f t="shared" si="63"/>
        <v>23.819199330246686</v>
      </c>
      <c r="Y155" s="95">
        <f t="shared" si="64"/>
        <v>-23.819199330246686</v>
      </c>
      <c r="Z155" s="95">
        <f t="shared" si="65"/>
        <v>983.45509155854404</v>
      </c>
      <c r="AA155" s="93" t="str">
        <f t="shared" si="66"/>
        <v/>
      </c>
      <c r="AB155" s="100"/>
      <c r="AC155" s="71"/>
      <c r="AD155" s="39"/>
    </row>
    <row r="156" spans="1:30" ht="18.75" x14ac:dyDescent="0.25">
      <c r="A156" s="39"/>
      <c r="B156" s="39"/>
      <c r="C156" s="94">
        <f t="shared" si="50"/>
        <v>-3.3999999999999981E-3</v>
      </c>
      <c r="D156" s="94">
        <f t="shared" si="67"/>
        <v>6.7500000000000004E-2</v>
      </c>
      <c r="E156" s="94">
        <f t="shared" si="42"/>
        <v>5.3629213483146051E-3</v>
      </c>
      <c r="F156" s="93" t="s">
        <v>107</v>
      </c>
      <c r="G156" s="95">
        <f t="shared" si="48"/>
        <v>17.071932299012701</v>
      </c>
      <c r="H156" s="71">
        <f t="shared" si="51"/>
        <v>45.373333333333299</v>
      </c>
      <c r="I156" s="71">
        <f t="shared" si="52"/>
        <v>90.414666666666548</v>
      </c>
      <c r="J156" s="71">
        <f t="shared" si="68"/>
        <v>0.7809523809523804</v>
      </c>
      <c r="K156" s="71">
        <f t="shared" si="69"/>
        <v>0.41391678622668582</v>
      </c>
      <c r="L156" s="96">
        <f t="shared" si="53"/>
        <v>491727.54577927204</v>
      </c>
      <c r="M156" s="96">
        <f t="shared" si="46"/>
        <v>-131683.78072402437</v>
      </c>
      <c r="N156" s="96">
        <f t="shared" si="54"/>
        <v>491727.54577927204</v>
      </c>
      <c r="O156" s="96">
        <f t="shared" si="55"/>
        <v>851771.3108345198</v>
      </c>
      <c r="P156" s="96">
        <f t="shared" si="47"/>
        <v>25406231.22939384</v>
      </c>
      <c r="Q156" s="97">
        <f t="shared" si="56"/>
        <v>-0.24224117056494884</v>
      </c>
      <c r="R156" s="97">
        <f t="shared" si="57"/>
        <v>1.7251788387924506E-2</v>
      </c>
      <c r="S156" s="71">
        <f t="shared" si="58"/>
        <v>-1.7251788387924506E-2</v>
      </c>
      <c r="T156" s="98">
        <f t="shared" si="59"/>
        <v>29.827526363270181</v>
      </c>
      <c r="U156" s="99">
        <f t="shared" si="60"/>
        <v>8.3785186413680282E-2</v>
      </c>
      <c r="V156" s="93" t="str">
        <f t="shared" si="61"/>
        <v>SI</v>
      </c>
      <c r="W156" s="95">
        <f t="shared" si="62"/>
        <v>-851.7713108345198</v>
      </c>
      <c r="X156" s="95">
        <f t="shared" si="63"/>
        <v>25.406231229393839</v>
      </c>
      <c r="Y156" s="95">
        <f t="shared" si="64"/>
        <v>-25.406231229393839</v>
      </c>
      <c r="Z156" s="95">
        <f t="shared" si="65"/>
        <v>983.45509155854404</v>
      </c>
      <c r="AA156" s="93" t="str">
        <f t="shared" si="66"/>
        <v/>
      </c>
      <c r="AB156" s="100"/>
      <c r="AC156" s="71"/>
      <c r="AD156" s="39"/>
    </row>
    <row r="157" spans="1:30" ht="19.5" thickBot="1" x14ac:dyDescent="0.3">
      <c r="A157" s="39"/>
      <c r="B157" s="39"/>
      <c r="C157" s="125">
        <f t="shared" si="50"/>
        <v>-3.4999999999999979E-3</v>
      </c>
      <c r="D157" s="125">
        <f t="shared" si="67"/>
        <v>6.7500000000000004E-2</v>
      </c>
      <c r="E157" s="125">
        <f t="shared" si="42"/>
        <v>5.2752808988763972E-3</v>
      </c>
      <c r="F157" s="126" t="s">
        <v>107</v>
      </c>
      <c r="G157" s="127">
        <f t="shared" si="48"/>
        <v>17.549295774647931</v>
      </c>
      <c r="H157" s="128">
        <f t="shared" si="51"/>
        <v>47.033333333333289</v>
      </c>
      <c r="I157" s="128">
        <f t="shared" si="52"/>
        <v>96.141666666666509</v>
      </c>
      <c r="J157" s="128">
        <f t="shared" si="68"/>
        <v>0.80952380952380887</v>
      </c>
      <c r="K157" s="128">
        <f t="shared" si="69"/>
        <v>0.41596638655462193</v>
      </c>
      <c r="L157" s="129">
        <f t="shared" si="53"/>
        <v>491727.54577927204</v>
      </c>
      <c r="M157" s="129">
        <f t="shared" si="46"/>
        <v>-140318.3192488265</v>
      </c>
      <c r="N157" s="129">
        <f t="shared" si="54"/>
        <v>491727.54577927204</v>
      </c>
      <c r="O157" s="129">
        <f t="shared" si="55"/>
        <v>843136.77230971749</v>
      </c>
      <c r="P157" s="129">
        <f t="shared" si="47"/>
        <v>27039351.744627431</v>
      </c>
      <c r="Q157" s="130">
        <f t="shared" si="56"/>
        <v>-0.23978553406612502</v>
      </c>
      <c r="R157" s="130">
        <f t="shared" si="57"/>
        <v>1.8360738758658433E-2</v>
      </c>
      <c r="S157" s="128">
        <f t="shared" si="58"/>
        <v>-1.8360738758658433E-2</v>
      </c>
      <c r="T157" s="131">
        <f t="shared" si="59"/>
        <v>32.069947169490561</v>
      </c>
      <c r="U157" s="132">
        <f t="shared" si="60"/>
        <v>9.0084121262613934E-2</v>
      </c>
      <c r="V157" s="126" t="str">
        <f t="shared" si="61"/>
        <v>SI</v>
      </c>
      <c r="W157" s="127">
        <f t="shared" si="62"/>
        <v>-843.13677230971746</v>
      </c>
      <c r="X157" s="127">
        <f t="shared" si="63"/>
        <v>27.039351744627432</v>
      </c>
      <c r="Y157" s="127">
        <f t="shared" si="64"/>
        <v>-27.039351744627432</v>
      </c>
      <c r="Z157" s="127">
        <f t="shared" si="65"/>
        <v>983.45509155854404</v>
      </c>
      <c r="AA157" s="126" t="str">
        <f t="shared" si="66"/>
        <v/>
      </c>
      <c r="AB157" s="100"/>
      <c r="AC157" s="71"/>
      <c r="AD157" s="39"/>
    </row>
    <row r="158" spans="1:30" ht="26.25" x14ac:dyDescent="0.25">
      <c r="A158" s="39"/>
      <c r="B158" s="133" t="s">
        <v>109</v>
      </c>
      <c r="C158" s="113">
        <f t="shared" ref="C158:C189" si="70">$I$12*10^-3</f>
        <v>-3.5000000000000001E-3</v>
      </c>
      <c r="D158" s="111">
        <f t="shared" si="67"/>
        <v>6.7500000000000004E-2</v>
      </c>
      <c r="E158" s="111">
        <f>($I$12*(G158-$C$10))/(G158*10^3)</f>
        <v>5.2752808988764032E-3</v>
      </c>
      <c r="F158" s="113" t="s">
        <v>107</v>
      </c>
      <c r="G158" s="114">
        <f t="shared" ref="G158:G189" si="71">(-$I$12*10^-3/(-$I$12*10^-3+D158))*$C$13</f>
        <v>17.549295774647888</v>
      </c>
      <c r="H158" s="115">
        <f t="shared" ref="H158:H189" si="72">$H$157</f>
        <v>47.033333333333289</v>
      </c>
      <c r="I158" s="115">
        <f t="shared" ref="I158:I189" si="73">$I$157</f>
        <v>96.141666666666509</v>
      </c>
      <c r="J158" s="115">
        <f t="shared" si="68"/>
        <v>0.80952380952380887</v>
      </c>
      <c r="K158" s="115">
        <f t="shared" si="69"/>
        <v>0.41596638655462226</v>
      </c>
      <c r="L158" s="96">
        <f t="shared" si="53"/>
        <v>491727.54577927204</v>
      </c>
      <c r="M158" s="116">
        <f t="shared" ref="M158:M189" si="74">-$I$16*$C$6*J158*$I$10*G158</f>
        <v>-140318.31924882618</v>
      </c>
      <c r="N158" s="96">
        <f t="shared" si="54"/>
        <v>491727.54577927204</v>
      </c>
      <c r="O158" s="116">
        <f t="shared" si="55"/>
        <v>843136.77230971796</v>
      </c>
      <c r="P158" s="116">
        <f t="shared" ref="P158:P189" si="75">-M158*($C$8/2-(K158*G158))-L158*($C$13/2)+N158*($C$13/2)</f>
        <v>27039351.744627371</v>
      </c>
      <c r="Q158" s="97">
        <f t="shared" si="56"/>
        <v>-0.23978553406612516</v>
      </c>
      <c r="R158" s="117">
        <f t="shared" si="57"/>
        <v>1.8360738758658394E-2</v>
      </c>
      <c r="S158" s="71">
        <f t="shared" si="58"/>
        <v>-1.8360738758658394E-2</v>
      </c>
      <c r="T158" s="118">
        <f t="shared" si="59"/>
        <v>32.069947169490469</v>
      </c>
      <c r="U158" s="119">
        <f t="shared" si="60"/>
        <v>9.008412126261367E-2</v>
      </c>
      <c r="V158" s="93" t="str">
        <f t="shared" si="61"/>
        <v>SI</v>
      </c>
      <c r="W158" s="95">
        <f t="shared" si="62"/>
        <v>-843.13677230971791</v>
      </c>
      <c r="X158" s="95">
        <f t="shared" si="63"/>
        <v>27.039351744627371</v>
      </c>
      <c r="Y158" s="95">
        <f t="shared" si="64"/>
        <v>-27.039351744627371</v>
      </c>
      <c r="Z158" s="95">
        <f t="shared" si="65"/>
        <v>983.45509155854404</v>
      </c>
      <c r="AA158" s="93" t="str">
        <f t="shared" si="66"/>
        <v/>
      </c>
      <c r="AB158" s="100"/>
      <c r="AC158" s="71"/>
      <c r="AD158" s="39"/>
    </row>
    <row r="159" spans="1:30" ht="18.75" x14ac:dyDescent="0.25">
      <c r="A159" s="39"/>
      <c r="B159" s="39"/>
      <c r="C159" s="113">
        <f t="shared" si="70"/>
        <v>-3.5000000000000001E-3</v>
      </c>
      <c r="D159" s="94">
        <f t="shared" ref="D159:D190" si="76">D158-($M$8*10^-3/100)</f>
        <v>6.6825000000000009E-2</v>
      </c>
      <c r="E159" s="94">
        <f t="shared" ref="E159:E190" si="77">($I$12*(G159-$C$10))/(G159*1000)</f>
        <v>5.1918539325842708E-3</v>
      </c>
      <c r="F159" s="93" t="s">
        <v>107</v>
      </c>
      <c r="G159" s="95">
        <f t="shared" si="71"/>
        <v>17.717739068610022</v>
      </c>
      <c r="H159" s="115">
        <f t="shared" si="72"/>
        <v>47.033333333333289</v>
      </c>
      <c r="I159" s="115">
        <f t="shared" si="73"/>
        <v>96.141666666666509</v>
      </c>
      <c r="J159" s="115">
        <f t="shared" si="68"/>
        <v>0.80952380952380887</v>
      </c>
      <c r="K159" s="115">
        <f t="shared" si="69"/>
        <v>0.41596638655462226</v>
      </c>
      <c r="L159" s="96">
        <f t="shared" si="53"/>
        <v>491727.54577927204</v>
      </c>
      <c r="M159" s="116">
        <f t="shared" si="74"/>
        <v>-141665.13567958275</v>
      </c>
      <c r="N159" s="96">
        <f t="shared" si="54"/>
        <v>491727.54577927204</v>
      </c>
      <c r="O159" s="96">
        <f t="shared" si="55"/>
        <v>841789.95587896137</v>
      </c>
      <c r="P159" s="116">
        <f t="shared" si="75"/>
        <v>27288957.367009327</v>
      </c>
      <c r="Q159" s="97">
        <f t="shared" si="56"/>
        <v>-0.23940250356888648</v>
      </c>
      <c r="R159" s="97">
        <f t="shared" si="57"/>
        <v>1.8530230382145928E-2</v>
      </c>
      <c r="S159" s="71">
        <f t="shared" si="58"/>
        <v>-1.8530230382145928E-2</v>
      </c>
      <c r="T159" s="98">
        <f t="shared" si="59"/>
        <v>32.417774976318597</v>
      </c>
      <c r="U159" s="99">
        <f t="shared" si="60"/>
        <v>9.1061165663816279E-2</v>
      </c>
      <c r="V159" s="93" t="str">
        <f t="shared" si="61"/>
        <v>SI</v>
      </c>
      <c r="W159" s="95">
        <f t="shared" si="62"/>
        <v>-841.78995587896134</v>
      </c>
      <c r="X159" s="95">
        <f t="shared" si="63"/>
        <v>27.288957367009328</v>
      </c>
      <c r="Y159" s="95">
        <f t="shared" si="64"/>
        <v>-27.288957367009328</v>
      </c>
      <c r="Z159" s="95">
        <f t="shared" si="65"/>
        <v>983.45509155854404</v>
      </c>
      <c r="AA159" s="93" t="str">
        <f t="shared" si="66"/>
        <v/>
      </c>
      <c r="AB159" s="100"/>
      <c r="AC159" s="71"/>
      <c r="AD159" s="39"/>
    </row>
    <row r="160" spans="1:30" ht="18.75" x14ac:dyDescent="0.25">
      <c r="A160" s="39"/>
      <c r="B160" s="39"/>
      <c r="C160" s="113">
        <f t="shared" si="70"/>
        <v>-3.5000000000000001E-3</v>
      </c>
      <c r="D160" s="94">
        <f t="shared" si="76"/>
        <v>6.6150000000000014E-2</v>
      </c>
      <c r="E160" s="94">
        <f t="shared" si="77"/>
        <v>5.1084269662921376E-3</v>
      </c>
      <c r="F160" s="93" t="s">
        <v>107</v>
      </c>
      <c r="G160" s="95">
        <f t="shared" si="71"/>
        <v>17.889447236180899</v>
      </c>
      <c r="H160" s="115">
        <f t="shared" si="72"/>
        <v>47.033333333333289</v>
      </c>
      <c r="I160" s="115">
        <f t="shared" si="73"/>
        <v>96.141666666666509</v>
      </c>
      <c r="J160" s="115">
        <f t="shared" si="68"/>
        <v>0.80952380952380887</v>
      </c>
      <c r="K160" s="115">
        <f t="shared" si="69"/>
        <v>0.41596638655462226</v>
      </c>
      <c r="L160" s="96">
        <f t="shared" si="53"/>
        <v>491727.54577927204</v>
      </c>
      <c r="M160" s="116">
        <f t="shared" si="74"/>
        <v>-143038.05695142361</v>
      </c>
      <c r="N160" s="96">
        <f t="shared" si="54"/>
        <v>491727.54577927204</v>
      </c>
      <c r="O160" s="96">
        <f t="shared" si="55"/>
        <v>840417.03460712056</v>
      </c>
      <c r="P160" s="116">
        <f t="shared" si="75"/>
        <v>27543206.745380372</v>
      </c>
      <c r="Q160" s="97">
        <f t="shared" si="56"/>
        <v>-0.23901204893422828</v>
      </c>
      <c r="R160" s="97">
        <f t="shared" si="57"/>
        <v>1.8702875290940741E-2</v>
      </c>
      <c r="S160" s="71">
        <f t="shared" si="58"/>
        <v>-1.8702875290940741E-2</v>
      </c>
      <c r="T160" s="98">
        <f t="shared" si="59"/>
        <v>32.773260906421669</v>
      </c>
      <c r="U160" s="99">
        <f t="shared" si="60"/>
        <v>9.2059721647251874E-2</v>
      </c>
      <c r="V160" s="93" t="str">
        <f t="shared" si="61"/>
        <v>SI</v>
      </c>
      <c r="W160" s="95">
        <f t="shared" si="62"/>
        <v>-840.41703460712051</v>
      </c>
      <c r="X160" s="95">
        <f t="shared" si="63"/>
        <v>27.54320674538037</v>
      </c>
      <c r="Y160" s="95">
        <f t="shared" si="64"/>
        <v>-27.54320674538037</v>
      </c>
      <c r="Z160" s="95">
        <f t="shared" si="65"/>
        <v>983.45509155854404</v>
      </c>
      <c r="AA160" s="93" t="str">
        <f t="shared" si="66"/>
        <v/>
      </c>
      <c r="AB160" s="100"/>
      <c r="AC160" s="71"/>
      <c r="AD160" s="39"/>
    </row>
    <row r="161" spans="1:30" ht="18.75" x14ac:dyDescent="0.25">
      <c r="A161" s="39"/>
      <c r="B161" s="39"/>
      <c r="C161" s="113">
        <f t="shared" si="70"/>
        <v>-3.5000000000000001E-3</v>
      </c>
      <c r="D161" s="94">
        <f t="shared" si="76"/>
        <v>6.5475000000000019E-2</v>
      </c>
      <c r="E161" s="94">
        <f t="shared" si="77"/>
        <v>5.0250000000000026E-3</v>
      </c>
      <c r="F161" s="93" t="s">
        <v>107</v>
      </c>
      <c r="G161" s="95">
        <f t="shared" si="71"/>
        <v>18.064516129032253</v>
      </c>
      <c r="H161" s="115">
        <f t="shared" si="72"/>
        <v>47.033333333333289</v>
      </c>
      <c r="I161" s="115">
        <f t="shared" si="73"/>
        <v>96.141666666666509</v>
      </c>
      <c r="J161" s="115">
        <f t="shared" si="68"/>
        <v>0.80952380952380887</v>
      </c>
      <c r="K161" s="115">
        <f t="shared" si="69"/>
        <v>0.41596638655462226</v>
      </c>
      <c r="L161" s="96">
        <f t="shared" si="53"/>
        <v>491727.54577927204</v>
      </c>
      <c r="M161" s="116">
        <f t="shared" si="74"/>
        <v>-144437.84946236541</v>
      </c>
      <c r="N161" s="96">
        <f t="shared" si="54"/>
        <v>491727.54577927204</v>
      </c>
      <c r="O161" s="96">
        <f t="shared" si="55"/>
        <v>839017.2420961787</v>
      </c>
      <c r="P161" s="116">
        <f t="shared" si="75"/>
        <v>27802230.454387754</v>
      </c>
      <c r="Q161" s="97">
        <f t="shared" si="56"/>
        <v>-0.23861395220088516</v>
      </c>
      <c r="R161" s="97">
        <f t="shared" si="57"/>
        <v>1.8878762150148758E-2</v>
      </c>
      <c r="S161" s="71">
        <f t="shared" si="58"/>
        <v>-1.8878762150148758E-2</v>
      </c>
      <c r="T161" s="98">
        <f t="shared" si="59"/>
        <v>33.136661631562411</v>
      </c>
      <c r="U161" s="99">
        <f t="shared" si="60"/>
        <v>9.3080510201018013E-2</v>
      </c>
      <c r="V161" s="93" t="str">
        <f t="shared" si="61"/>
        <v>SI</v>
      </c>
      <c r="W161" s="95">
        <f t="shared" si="62"/>
        <v>-839.01724209617873</v>
      </c>
      <c r="X161" s="95">
        <f t="shared" si="63"/>
        <v>27.802230454387754</v>
      </c>
      <c r="Y161" s="95">
        <f t="shared" si="64"/>
        <v>-27.802230454387754</v>
      </c>
      <c r="Z161" s="95">
        <f t="shared" si="65"/>
        <v>983.45509155854404</v>
      </c>
      <c r="AA161" s="93" t="str">
        <f t="shared" si="66"/>
        <v/>
      </c>
      <c r="AB161" s="100"/>
      <c r="AC161" s="71"/>
      <c r="AD161" s="39"/>
    </row>
    <row r="162" spans="1:30" ht="18.75" x14ac:dyDescent="0.25">
      <c r="A162" s="39"/>
      <c r="B162" s="39"/>
      <c r="C162" s="113">
        <f t="shared" si="70"/>
        <v>-3.5000000000000001E-3</v>
      </c>
      <c r="D162" s="94">
        <f t="shared" si="76"/>
        <v>6.4800000000000024E-2</v>
      </c>
      <c r="E162" s="94">
        <f t="shared" si="77"/>
        <v>4.9415730337078675E-3</v>
      </c>
      <c r="F162" s="93" t="s">
        <v>107</v>
      </c>
      <c r="G162" s="95">
        <f t="shared" si="71"/>
        <v>18.243045387994137</v>
      </c>
      <c r="H162" s="115">
        <f t="shared" si="72"/>
        <v>47.033333333333289</v>
      </c>
      <c r="I162" s="115">
        <f t="shared" si="73"/>
        <v>96.141666666666509</v>
      </c>
      <c r="J162" s="115">
        <f t="shared" si="68"/>
        <v>0.80952380952380887</v>
      </c>
      <c r="K162" s="115">
        <f t="shared" si="69"/>
        <v>0.41596638655462226</v>
      </c>
      <c r="L162" s="96">
        <f t="shared" si="53"/>
        <v>491727.54577927204</v>
      </c>
      <c r="M162" s="116">
        <f t="shared" si="74"/>
        <v>-145865.30990727167</v>
      </c>
      <c r="N162" s="96">
        <f t="shared" si="54"/>
        <v>491727.54577927204</v>
      </c>
      <c r="O162" s="96">
        <f t="shared" si="55"/>
        <v>837589.78165127244</v>
      </c>
      <c r="P162" s="116">
        <f t="shared" si="75"/>
        <v>28066164.000580192</v>
      </c>
      <c r="Q162" s="97">
        <f t="shared" si="56"/>
        <v>-0.23820798679126076</v>
      </c>
      <c r="R162" s="97">
        <f t="shared" si="57"/>
        <v>1.905798297382285E-2</v>
      </c>
      <c r="S162" s="71">
        <f t="shared" si="58"/>
        <v>-1.905798297382285E-2</v>
      </c>
      <c r="T162" s="98">
        <f t="shared" si="59"/>
        <v>33.508245462652312</v>
      </c>
      <c r="U162" s="99">
        <f t="shared" si="60"/>
        <v>9.412428500745032E-2</v>
      </c>
      <c r="V162" s="93" t="str">
        <f t="shared" si="61"/>
        <v>SI</v>
      </c>
      <c r="W162" s="95">
        <f t="shared" si="62"/>
        <v>-837.58978165127246</v>
      </c>
      <c r="X162" s="95">
        <f t="shared" si="63"/>
        <v>28.066164000580191</v>
      </c>
      <c r="Y162" s="95">
        <f t="shared" si="64"/>
        <v>-28.066164000580191</v>
      </c>
      <c r="Z162" s="95">
        <f t="shared" si="65"/>
        <v>983.45509155854404</v>
      </c>
      <c r="AA162" s="93" t="str">
        <f t="shared" si="66"/>
        <v/>
      </c>
      <c r="AB162" s="100"/>
      <c r="AC162" s="71"/>
      <c r="AD162" s="39"/>
    </row>
    <row r="163" spans="1:30" ht="18.75" x14ac:dyDescent="0.25">
      <c r="A163" s="39"/>
      <c r="B163" s="39"/>
      <c r="C163" s="113">
        <f t="shared" si="70"/>
        <v>-3.5000000000000001E-3</v>
      </c>
      <c r="D163" s="94">
        <f t="shared" si="76"/>
        <v>6.4125000000000029E-2</v>
      </c>
      <c r="E163" s="94">
        <f t="shared" si="77"/>
        <v>4.8581460674157343E-3</v>
      </c>
      <c r="F163" s="93" t="s">
        <v>107</v>
      </c>
      <c r="G163" s="95">
        <f t="shared" si="71"/>
        <v>18.425138632162653</v>
      </c>
      <c r="H163" s="115">
        <f t="shared" si="72"/>
        <v>47.033333333333289</v>
      </c>
      <c r="I163" s="115">
        <f t="shared" si="73"/>
        <v>96.141666666666509</v>
      </c>
      <c r="J163" s="115">
        <f t="shared" si="68"/>
        <v>0.80952380952380887</v>
      </c>
      <c r="K163" s="115">
        <f t="shared" si="69"/>
        <v>0.41596638655462226</v>
      </c>
      <c r="L163" s="96">
        <f t="shared" si="53"/>
        <v>491727.54577927204</v>
      </c>
      <c r="M163" s="116">
        <f t="shared" si="74"/>
        <v>-147321.26678989505</v>
      </c>
      <c r="N163" s="96">
        <f t="shared" si="54"/>
        <v>491727.54577927204</v>
      </c>
      <c r="O163" s="96">
        <f t="shared" si="55"/>
        <v>836133.82476864895</v>
      </c>
      <c r="P163" s="116">
        <f t="shared" si="75"/>
        <v>28335148.056958444</v>
      </c>
      <c r="Q163" s="97">
        <f t="shared" si="56"/>
        <v>-0.23779391708140724</v>
      </c>
      <c r="R163" s="97">
        <f t="shared" si="57"/>
        <v>1.9240633284231517E-2</v>
      </c>
      <c r="S163" s="71">
        <f t="shared" si="58"/>
        <v>-1.9240633284231517E-2</v>
      </c>
      <c r="T163" s="98">
        <f t="shared" si="59"/>
        <v>33.888293019121114</v>
      </c>
      <c r="U163" s="99">
        <f t="shared" si="60"/>
        <v>9.5191834323373914E-2</v>
      </c>
      <c r="V163" s="93" t="str">
        <f t="shared" si="61"/>
        <v>SI</v>
      </c>
      <c r="W163" s="95">
        <f t="shared" si="62"/>
        <v>-836.13382476864899</v>
      </c>
      <c r="X163" s="95">
        <f t="shared" si="63"/>
        <v>28.335148056958445</v>
      </c>
      <c r="Y163" s="95">
        <f t="shared" si="64"/>
        <v>-28.335148056958445</v>
      </c>
      <c r="Z163" s="95">
        <f t="shared" si="65"/>
        <v>983.45509155854404</v>
      </c>
      <c r="AA163" s="93" t="str">
        <f t="shared" si="66"/>
        <v/>
      </c>
      <c r="AB163" s="100"/>
      <c r="AC163" s="71"/>
      <c r="AD163" s="39"/>
    </row>
    <row r="164" spans="1:30" ht="18.75" x14ac:dyDescent="0.25">
      <c r="A164" s="39"/>
      <c r="B164" s="39"/>
      <c r="C164" s="113">
        <f t="shared" si="70"/>
        <v>-3.5000000000000001E-3</v>
      </c>
      <c r="D164" s="94">
        <f t="shared" si="76"/>
        <v>6.3450000000000034E-2</v>
      </c>
      <c r="E164" s="94">
        <f t="shared" si="77"/>
        <v>4.7747191011236001E-3</v>
      </c>
      <c r="F164" s="93" t="s">
        <v>107</v>
      </c>
      <c r="G164" s="95">
        <f t="shared" si="71"/>
        <v>18.610903659447338</v>
      </c>
      <c r="H164" s="115">
        <f t="shared" si="72"/>
        <v>47.033333333333289</v>
      </c>
      <c r="I164" s="115">
        <f t="shared" si="73"/>
        <v>96.141666666666509</v>
      </c>
      <c r="J164" s="115">
        <f t="shared" si="68"/>
        <v>0.80952380952380887</v>
      </c>
      <c r="K164" s="115">
        <f t="shared" si="69"/>
        <v>0.41596638655462226</v>
      </c>
      <c r="L164" s="96">
        <f t="shared" si="53"/>
        <v>491727.54577927204</v>
      </c>
      <c r="M164" s="116">
        <f t="shared" si="74"/>
        <v>-148806.58202638762</v>
      </c>
      <c r="N164" s="96">
        <f t="shared" si="54"/>
        <v>491727.54577927204</v>
      </c>
      <c r="O164" s="96">
        <f t="shared" si="55"/>
        <v>834648.5095321564</v>
      </c>
      <c r="P164" s="116">
        <f t="shared" si="75"/>
        <v>28609328.711006552</v>
      </c>
      <c r="Q164" s="97">
        <f t="shared" si="56"/>
        <v>-0.2373714979449921</v>
      </c>
      <c r="R164" s="97">
        <f t="shared" si="57"/>
        <v>1.9426812280281439E-2</v>
      </c>
      <c r="S164" s="71">
        <f t="shared" si="58"/>
        <v>-1.9426812280281439E-2</v>
      </c>
      <c r="T164" s="98">
        <f t="shared" si="59"/>
        <v>34.277097945149237</v>
      </c>
      <c r="U164" s="99">
        <f t="shared" si="60"/>
        <v>9.6283982991992242E-2</v>
      </c>
      <c r="V164" s="93" t="str">
        <f t="shared" si="61"/>
        <v>SI</v>
      </c>
      <c r="W164" s="95">
        <f t="shared" si="62"/>
        <v>-834.64850953215637</v>
      </c>
      <c r="X164" s="95">
        <f t="shared" si="63"/>
        <v>28.609328711006551</v>
      </c>
      <c r="Y164" s="95">
        <f t="shared" si="64"/>
        <v>-28.609328711006551</v>
      </c>
      <c r="Z164" s="95">
        <f t="shared" si="65"/>
        <v>983.45509155854404</v>
      </c>
      <c r="AA164" s="93" t="str">
        <f t="shared" si="66"/>
        <v/>
      </c>
      <c r="AB164" s="100"/>
      <c r="AC164" s="71"/>
      <c r="AD164" s="39"/>
    </row>
    <row r="165" spans="1:30" ht="18.75" x14ac:dyDescent="0.25">
      <c r="A165" s="39"/>
      <c r="B165" s="39"/>
      <c r="C165" s="113">
        <f t="shared" si="70"/>
        <v>-3.5000000000000001E-3</v>
      </c>
      <c r="D165" s="94">
        <f t="shared" si="76"/>
        <v>6.2775000000000039E-2</v>
      </c>
      <c r="E165" s="94">
        <f t="shared" si="77"/>
        <v>4.6912921348314651E-3</v>
      </c>
      <c r="F165" s="93" t="s">
        <v>107</v>
      </c>
      <c r="G165" s="95">
        <f t="shared" si="71"/>
        <v>18.800452659373811</v>
      </c>
      <c r="H165" s="115">
        <f t="shared" si="72"/>
        <v>47.033333333333289</v>
      </c>
      <c r="I165" s="115">
        <f t="shared" si="73"/>
        <v>96.141666666666509</v>
      </c>
      <c r="J165" s="115">
        <f t="shared" si="68"/>
        <v>0.80952380952380887</v>
      </c>
      <c r="K165" s="115">
        <f t="shared" si="69"/>
        <v>0.41596638655462226</v>
      </c>
      <c r="L165" s="96">
        <f t="shared" si="53"/>
        <v>491727.54577927204</v>
      </c>
      <c r="M165" s="116">
        <f t="shared" si="74"/>
        <v>-150322.15264679975</v>
      </c>
      <c r="N165" s="96">
        <f t="shared" si="54"/>
        <v>491727.54577927204</v>
      </c>
      <c r="O165" s="96">
        <f t="shared" si="55"/>
        <v>833132.93891174439</v>
      </c>
      <c r="P165" s="116">
        <f t="shared" si="75"/>
        <v>28888857.72711356</v>
      </c>
      <c r="Q165" s="97">
        <f t="shared" si="56"/>
        <v>-0.23694047426939688</v>
      </c>
      <c r="R165" s="97">
        <f t="shared" si="57"/>
        <v>1.9616623015711713E-2</v>
      </c>
      <c r="S165" s="71">
        <f t="shared" si="58"/>
        <v>-1.9616623015711713E-2</v>
      </c>
      <c r="T165" s="98">
        <f t="shared" si="59"/>
        <v>34.674967676645686</v>
      </c>
      <c r="U165" s="99">
        <f t="shared" si="60"/>
        <v>9.7401594597319341E-2</v>
      </c>
      <c r="V165" s="93" t="str">
        <f t="shared" si="61"/>
        <v>SI</v>
      </c>
      <c r="W165" s="95">
        <f t="shared" si="62"/>
        <v>-833.13293891174442</v>
      </c>
      <c r="X165" s="95">
        <f t="shared" si="63"/>
        <v>28.88885772711356</v>
      </c>
      <c r="Y165" s="95">
        <f t="shared" si="64"/>
        <v>-28.88885772711356</v>
      </c>
      <c r="Z165" s="95">
        <f t="shared" si="65"/>
        <v>983.45509155854404</v>
      </c>
      <c r="AA165" s="93" t="str">
        <f t="shared" si="66"/>
        <v/>
      </c>
      <c r="AB165" s="100"/>
      <c r="AC165" s="71"/>
      <c r="AD165" s="39"/>
    </row>
    <row r="166" spans="1:30" ht="18.75" x14ac:dyDescent="0.25">
      <c r="A166" s="39"/>
      <c r="B166" s="39"/>
      <c r="C166" s="113">
        <f t="shared" si="70"/>
        <v>-3.5000000000000001E-3</v>
      </c>
      <c r="D166" s="94">
        <f t="shared" si="76"/>
        <v>6.2100000000000037E-2</v>
      </c>
      <c r="E166" s="94">
        <f t="shared" si="77"/>
        <v>4.6078651685393292E-3</v>
      </c>
      <c r="F166" s="93" t="s">
        <v>107</v>
      </c>
      <c r="G166" s="95">
        <f t="shared" si="71"/>
        <v>18.993902439024382</v>
      </c>
      <c r="H166" s="115">
        <f t="shared" si="72"/>
        <v>47.033333333333289</v>
      </c>
      <c r="I166" s="115">
        <f t="shared" si="73"/>
        <v>96.141666666666509</v>
      </c>
      <c r="J166" s="115">
        <f t="shared" si="68"/>
        <v>0.80952380952380887</v>
      </c>
      <c r="K166" s="115">
        <f t="shared" si="69"/>
        <v>0.41596638655462226</v>
      </c>
      <c r="L166" s="96">
        <f t="shared" si="53"/>
        <v>491727.54577927204</v>
      </c>
      <c r="M166" s="116">
        <f t="shared" si="74"/>
        <v>-151868.91260162581</v>
      </c>
      <c r="N166" s="96">
        <f t="shared" si="54"/>
        <v>491727.54577927204</v>
      </c>
      <c r="O166" s="96">
        <f t="shared" si="55"/>
        <v>831586.17895691819</v>
      </c>
      <c r="P166" s="116">
        <f t="shared" si="75"/>
        <v>29173892.824366659</v>
      </c>
      <c r="Q166" s="97">
        <f t="shared" si="56"/>
        <v>-0.23650058044194103</v>
      </c>
      <c r="R166" s="97">
        <f t="shared" si="57"/>
        <v>1.9810172587725872E-2</v>
      </c>
      <c r="S166" s="71">
        <f t="shared" si="58"/>
        <v>-1.9810172587725872E-2</v>
      </c>
      <c r="T166" s="98">
        <f t="shared" si="59"/>
        <v>35.08222426322704</v>
      </c>
      <c r="U166" s="99">
        <f t="shared" si="60"/>
        <v>9.8545573773109657E-2</v>
      </c>
      <c r="V166" s="93" t="str">
        <f t="shared" si="61"/>
        <v>SI</v>
      </c>
      <c r="W166" s="95">
        <f t="shared" si="62"/>
        <v>-831.58617895691816</v>
      </c>
      <c r="X166" s="95">
        <f t="shared" si="63"/>
        <v>29.173892824366661</v>
      </c>
      <c r="Y166" s="95">
        <f t="shared" si="64"/>
        <v>-29.173892824366661</v>
      </c>
      <c r="Z166" s="95">
        <f t="shared" si="65"/>
        <v>983.45509155854404</v>
      </c>
      <c r="AA166" s="93" t="str">
        <f t="shared" si="66"/>
        <v/>
      </c>
      <c r="AB166" s="100"/>
      <c r="AC166" s="71"/>
      <c r="AD166" s="39"/>
    </row>
    <row r="167" spans="1:30" ht="18.75" x14ac:dyDescent="0.25">
      <c r="A167" s="39"/>
      <c r="B167" s="39"/>
      <c r="C167" s="113">
        <f t="shared" si="70"/>
        <v>-3.5000000000000001E-3</v>
      </c>
      <c r="D167" s="94">
        <f t="shared" si="76"/>
        <v>6.1425000000000035E-2</v>
      </c>
      <c r="E167" s="94">
        <f t="shared" si="77"/>
        <v>4.524438202247196E-3</v>
      </c>
      <c r="F167" s="93" t="s">
        <v>107</v>
      </c>
      <c r="G167" s="95">
        <f t="shared" si="71"/>
        <v>19.191374663072764</v>
      </c>
      <c r="H167" s="115">
        <f t="shared" si="72"/>
        <v>47.033333333333289</v>
      </c>
      <c r="I167" s="115">
        <f t="shared" si="73"/>
        <v>96.141666666666509</v>
      </c>
      <c r="J167" s="115">
        <f t="shared" si="68"/>
        <v>0.80952380952380887</v>
      </c>
      <c r="K167" s="115">
        <f t="shared" si="69"/>
        <v>0.41596638655462226</v>
      </c>
      <c r="L167" s="96">
        <f t="shared" si="53"/>
        <v>491727.54577927204</v>
      </c>
      <c r="M167" s="116">
        <f t="shared" si="74"/>
        <v>-153447.834681042</v>
      </c>
      <c r="N167" s="96">
        <f t="shared" si="54"/>
        <v>491727.54577927204</v>
      </c>
      <c r="O167" s="96">
        <f t="shared" si="55"/>
        <v>830007.25687750208</v>
      </c>
      <c r="P167" s="116">
        <f t="shared" si="75"/>
        <v>29464597.970773473</v>
      </c>
      <c r="Q167" s="97">
        <f t="shared" si="56"/>
        <v>-0.2360515398040568</v>
      </c>
      <c r="R167" s="97">
        <f t="shared" si="57"/>
        <v>2.00075723367799E-2</v>
      </c>
      <c r="S167" s="71">
        <f t="shared" si="58"/>
        <v>-2.00075723367799E-2</v>
      </c>
      <c r="T167" s="98">
        <f t="shared" si="59"/>
        <v>35.499205249866932</v>
      </c>
      <c r="U167" s="99">
        <f t="shared" si="60"/>
        <v>9.9716868679401494E-2</v>
      </c>
      <c r="V167" s="93" t="str">
        <f t="shared" si="61"/>
        <v>SI</v>
      </c>
      <c r="W167" s="95">
        <f t="shared" si="62"/>
        <v>-830.00725687750207</v>
      </c>
      <c r="X167" s="95">
        <f t="shared" si="63"/>
        <v>29.464597970773472</v>
      </c>
      <c r="Y167" s="95">
        <f t="shared" si="64"/>
        <v>-29.464597970773472</v>
      </c>
      <c r="Z167" s="95">
        <f t="shared" si="65"/>
        <v>983.45509155854404</v>
      </c>
      <c r="AA167" s="93" t="str">
        <f t="shared" si="66"/>
        <v/>
      </c>
      <c r="AB167" s="100"/>
      <c r="AC167" s="71"/>
      <c r="AD167" s="39"/>
    </row>
    <row r="168" spans="1:30" ht="18.75" x14ac:dyDescent="0.25">
      <c r="A168" s="39"/>
      <c r="B168" s="39"/>
      <c r="C168" s="113">
        <f t="shared" si="70"/>
        <v>-3.5000000000000001E-3</v>
      </c>
      <c r="D168" s="94">
        <f t="shared" si="76"/>
        <v>6.0750000000000033E-2</v>
      </c>
      <c r="E168" s="94">
        <f t="shared" si="77"/>
        <v>4.4410112359550601E-3</v>
      </c>
      <c r="F168" s="93" t="s">
        <v>107</v>
      </c>
      <c r="G168" s="95">
        <f t="shared" si="71"/>
        <v>19.392996108949408</v>
      </c>
      <c r="H168" s="115">
        <f t="shared" si="72"/>
        <v>47.033333333333289</v>
      </c>
      <c r="I168" s="115">
        <f t="shared" si="73"/>
        <v>96.141666666666509</v>
      </c>
      <c r="J168" s="115">
        <f t="shared" si="68"/>
        <v>0.80952380952380887</v>
      </c>
      <c r="K168" s="115">
        <f t="shared" si="69"/>
        <v>0.41596638655462226</v>
      </c>
      <c r="L168" s="96">
        <f t="shared" si="53"/>
        <v>491727.54577927204</v>
      </c>
      <c r="M168" s="116">
        <f t="shared" si="74"/>
        <v>-155059.932555123</v>
      </c>
      <c r="N168" s="96">
        <f t="shared" si="54"/>
        <v>491727.54577927204</v>
      </c>
      <c r="O168" s="96">
        <f t="shared" si="55"/>
        <v>828395.15900342108</v>
      </c>
      <c r="P168" s="116">
        <f t="shared" si="75"/>
        <v>29761143.695054635</v>
      </c>
      <c r="Q168" s="97">
        <f t="shared" si="56"/>
        <v>-0.23559306407105748</v>
      </c>
      <c r="R168" s="97">
        <f t="shared" si="57"/>
        <v>2.0208938058301144E-2</v>
      </c>
      <c r="S168" s="71">
        <f t="shared" si="58"/>
        <v>-2.0208938058301144E-2</v>
      </c>
      <c r="T168" s="98">
        <f t="shared" si="59"/>
        <v>35.926264623344728</v>
      </c>
      <c r="U168" s="99">
        <f t="shared" si="60"/>
        <v>0.1009164736610807</v>
      </c>
      <c r="V168" s="93" t="str">
        <f t="shared" si="61"/>
        <v>SI</v>
      </c>
      <c r="W168" s="95">
        <f t="shared" si="62"/>
        <v>-828.3951590034211</v>
      </c>
      <c r="X168" s="95">
        <f t="shared" si="63"/>
        <v>29.761143695054635</v>
      </c>
      <c r="Y168" s="95">
        <f t="shared" si="64"/>
        <v>-29.761143695054635</v>
      </c>
      <c r="Z168" s="95">
        <f t="shared" si="65"/>
        <v>983.45509155854404</v>
      </c>
      <c r="AA168" s="93" t="str">
        <f t="shared" si="66"/>
        <v/>
      </c>
      <c r="AB168" s="100"/>
      <c r="AC168" s="71"/>
      <c r="AD168" s="39"/>
    </row>
    <row r="169" spans="1:30" ht="18.75" x14ac:dyDescent="0.25">
      <c r="A169" s="39"/>
      <c r="B169" s="39"/>
      <c r="C169" s="113">
        <f t="shared" si="70"/>
        <v>-3.5000000000000001E-3</v>
      </c>
      <c r="D169" s="94">
        <f t="shared" si="76"/>
        <v>6.0075000000000031E-2</v>
      </c>
      <c r="E169" s="94">
        <f t="shared" si="77"/>
        <v>4.3575842696629251E-3</v>
      </c>
      <c r="F169" s="93" t="s">
        <v>107</v>
      </c>
      <c r="G169" s="95">
        <f t="shared" si="71"/>
        <v>19.598898938261886</v>
      </c>
      <c r="H169" s="115">
        <f t="shared" si="72"/>
        <v>47.033333333333289</v>
      </c>
      <c r="I169" s="115">
        <f t="shared" si="73"/>
        <v>96.141666666666509</v>
      </c>
      <c r="J169" s="115">
        <f t="shared" si="68"/>
        <v>0.80952380952380887</v>
      </c>
      <c r="K169" s="115">
        <f t="shared" si="69"/>
        <v>0.41596638655462226</v>
      </c>
      <c r="L169" s="96">
        <f t="shared" si="53"/>
        <v>491727.54577927204</v>
      </c>
      <c r="M169" s="116">
        <f t="shared" si="74"/>
        <v>-156706.26294402915</v>
      </c>
      <c r="N169" s="96">
        <f t="shared" si="54"/>
        <v>491727.54577927204</v>
      </c>
      <c r="O169" s="96">
        <f t="shared" si="55"/>
        <v>826748.82861451502</v>
      </c>
      <c r="P169" s="116">
        <f t="shared" si="75"/>
        <v>30063707.417239279</v>
      </c>
      <c r="Q169" s="97">
        <f t="shared" si="56"/>
        <v>-0.23512485271494299</v>
      </c>
      <c r="R169" s="97">
        <f t="shared" si="57"/>
        <v>2.0414390227175103E-2</v>
      </c>
      <c r="S169" s="71">
        <f t="shared" si="58"/>
        <v>-2.0414390227175103E-2</v>
      </c>
      <c r="T169" s="98">
        <f t="shared" si="59"/>
        <v>36.3637738291335</v>
      </c>
      <c r="U169" s="99">
        <f t="shared" si="60"/>
        <v>0.10214543210430758</v>
      </c>
      <c r="V169" s="93" t="str">
        <f t="shared" si="61"/>
        <v>SI</v>
      </c>
      <c r="W169" s="95">
        <f t="shared" si="62"/>
        <v>-826.74882861451499</v>
      </c>
      <c r="X169" s="95">
        <f t="shared" si="63"/>
        <v>30.063707417239279</v>
      </c>
      <c r="Y169" s="95">
        <f t="shared" si="64"/>
        <v>-30.063707417239279</v>
      </c>
      <c r="Z169" s="95">
        <f t="shared" si="65"/>
        <v>983.45509155854404</v>
      </c>
      <c r="AA169" s="93" t="str">
        <f t="shared" si="66"/>
        <v/>
      </c>
      <c r="AB169" s="100"/>
      <c r="AC169" s="71"/>
      <c r="AD169" s="39"/>
    </row>
    <row r="170" spans="1:30" ht="18.75" x14ac:dyDescent="0.25">
      <c r="A170" s="39"/>
      <c r="B170" s="39"/>
      <c r="C170" s="113">
        <f t="shared" si="70"/>
        <v>-3.5000000000000001E-3</v>
      </c>
      <c r="D170" s="94">
        <f t="shared" si="76"/>
        <v>5.9400000000000029E-2</v>
      </c>
      <c r="E170" s="94">
        <f t="shared" si="77"/>
        <v>4.2741573033707892E-3</v>
      </c>
      <c r="F170" s="93" t="s">
        <v>107</v>
      </c>
      <c r="G170" s="95">
        <f t="shared" si="71"/>
        <v>19.809220985691567</v>
      </c>
      <c r="H170" s="115">
        <f t="shared" si="72"/>
        <v>47.033333333333289</v>
      </c>
      <c r="I170" s="115">
        <f t="shared" si="73"/>
        <v>96.141666666666509</v>
      </c>
      <c r="J170" s="115">
        <f t="shared" si="68"/>
        <v>0.80952380952380887</v>
      </c>
      <c r="K170" s="115">
        <f t="shared" si="69"/>
        <v>0.41596638655462226</v>
      </c>
      <c r="L170" s="96">
        <f t="shared" si="53"/>
        <v>491727.54577927204</v>
      </c>
      <c r="M170" s="116">
        <f t="shared" si="74"/>
        <v>-158387.92792792773</v>
      </c>
      <c r="N170" s="96">
        <f t="shared" si="54"/>
        <v>491727.54577927204</v>
      </c>
      <c r="O170" s="96">
        <f t="shared" si="55"/>
        <v>825067.16363061639</v>
      </c>
      <c r="P170" s="116">
        <f t="shared" si="75"/>
        <v>30372473.799395546</v>
      </c>
      <c r="Q170" s="97">
        <f t="shared" si="56"/>
        <v>-0.2346465923074651</v>
      </c>
      <c r="R170" s="97">
        <f t="shared" si="57"/>
        <v>2.0624054235904667E-2</v>
      </c>
      <c r="S170" s="71">
        <f t="shared" si="58"/>
        <v>-2.0624054235904667E-2</v>
      </c>
      <c r="T170" s="98">
        <f t="shared" si="59"/>
        <v>36.812122864937258</v>
      </c>
      <c r="U170" s="99">
        <f t="shared" si="60"/>
        <v>0.10340483950825073</v>
      </c>
      <c r="V170" s="93" t="str">
        <f t="shared" si="61"/>
        <v>SI</v>
      </c>
      <c r="W170" s="95">
        <f t="shared" si="62"/>
        <v>-825.06716363061639</v>
      </c>
      <c r="X170" s="95">
        <f t="shared" si="63"/>
        <v>30.372473799395546</v>
      </c>
      <c r="Y170" s="95">
        <f t="shared" si="64"/>
        <v>-30.372473799395546</v>
      </c>
      <c r="Z170" s="95">
        <f t="shared" si="65"/>
        <v>983.45509155854404</v>
      </c>
      <c r="AA170" s="93" t="str">
        <f t="shared" si="66"/>
        <v/>
      </c>
      <c r="AB170" s="100"/>
      <c r="AC170" s="71"/>
      <c r="AD170" s="39"/>
    </row>
    <row r="171" spans="1:30" ht="18.75" x14ac:dyDescent="0.25">
      <c r="A171" s="39"/>
      <c r="B171" s="39"/>
      <c r="C171" s="113">
        <f t="shared" si="70"/>
        <v>-3.5000000000000001E-3</v>
      </c>
      <c r="D171" s="94">
        <f t="shared" si="76"/>
        <v>5.8725000000000027E-2</v>
      </c>
      <c r="E171" s="94">
        <f t="shared" si="77"/>
        <v>4.1907303370786551E-3</v>
      </c>
      <c r="F171" s="93" t="s">
        <v>107</v>
      </c>
      <c r="G171" s="95">
        <f t="shared" si="71"/>
        <v>20.024106066693442</v>
      </c>
      <c r="H171" s="115">
        <f t="shared" si="72"/>
        <v>47.033333333333289</v>
      </c>
      <c r="I171" s="115">
        <f t="shared" si="73"/>
        <v>96.141666666666509</v>
      </c>
      <c r="J171" s="115">
        <f t="shared" si="68"/>
        <v>0.80952380952380887</v>
      </c>
      <c r="K171" s="115">
        <f t="shared" si="69"/>
        <v>0.41596638655462226</v>
      </c>
      <c r="L171" s="96">
        <f t="shared" si="53"/>
        <v>491727.54577927204</v>
      </c>
      <c r="M171" s="116">
        <f t="shared" si="74"/>
        <v>-160106.07740725839</v>
      </c>
      <c r="N171" s="96">
        <f t="shared" si="54"/>
        <v>491727.54577927204</v>
      </c>
      <c r="O171" s="96">
        <f t="shared" si="55"/>
        <v>823349.01415128564</v>
      </c>
      <c r="P171" s="116">
        <f t="shared" si="75"/>
        <v>30687635.117936581</v>
      </c>
      <c r="Q171" s="97">
        <f t="shared" si="56"/>
        <v>-0.23415795582043566</v>
      </c>
      <c r="R171" s="97">
        <f t="shared" si="57"/>
        <v>2.0838060647419915E-2</v>
      </c>
      <c r="S171" s="71">
        <f t="shared" si="58"/>
        <v>-2.0838060647419915E-2</v>
      </c>
      <c r="T171" s="98">
        <f t="shared" si="59"/>
        <v>37.271721457721824</v>
      </c>
      <c r="U171" s="99">
        <f t="shared" si="60"/>
        <v>0.10469584679135344</v>
      </c>
      <c r="V171" s="93" t="str">
        <f t="shared" si="61"/>
        <v>SI</v>
      </c>
      <c r="W171" s="95">
        <f t="shared" si="62"/>
        <v>-823.34901415128559</v>
      </c>
      <c r="X171" s="95">
        <f t="shared" si="63"/>
        <v>30.68763511793658</v>
      </c>
      <c r="Y171" s="95">
        <f t="shared" si="64"/>
        <v>-30.68763511793658</v>
      </c>
      <c r="Z171" s="95">
        <f t="shared" si="65"/>
        <v>983.45509155854404</v>
      </c>
      <c r="AA171" s="93" t="str">
        <f t="shared" si="66"/>
        <v/>
      </c>
      <c r="AB171" s="100"/>
      <c r="AC171" s="71"/>
      <c r="AD171" s="39"/>
    </row>
    <row r="172" spans="1:30" ht="18.75" x14ac:dyDescent="0.25">
      <c r="A172" s="39"/>
      <c r="B172" s="39"/>
      <c r="C172" s="113">
        <f t="shared" si="70"/>
        <v>-3.5000000000000001E-3</v>
      </c>
      <c r="D172" s="94">
        <f t="shared" si="76"/>
        <v>5.8050000000000025E-2</v>
      </c>
      <c r="E172" s="94">
        <f t="shared" si="77"/>
        <v>4.1073033707865209E-3</v>
      </c>
      <c r="F172" s="93" t="s">
        <v>107</v>
      </c>
      <c r="G172" s="95">
        <f t="shared" si="71"/>
        <v>20.243704305442719</v>
      </c>
      <c r="H172" s="115">
        <f t="shared" si="72"/>
        <v>47.033333333333289</v>
      </c>
      <c r="I172" s="115">
        <f t="shared" si="73"/>
        <v>96.141666666666509</v>
      </c>
      <c r="J172" s="115">
        <f t="shared" si="68"/>
        <v>0.80952380952380887</v>
      </c>
      <c r="K172" s="115">
        <f t="shared" si="69"/>
        <v>0.41596638655462226</v>
      </c>
      <c r="L172" s="96">
        <f t="shared" si="53"/>
        <v>491727.54577927204</v>
      </c>
      <c r="M172" s="116">
        <f t="shared" si="74"/>
        <v>-161861.9117248847</v>
      </c>
      <c r="N172" s="96">
        <f t="shared" si="54"/>
        <v>491727.54577927204</v>
      </c>
      <c r="O172" s="96">
        <f t="shared" si="55"/>
        <v>821593.17983365944</v>
      </c>
      <c r="P172" s="116">
        <f t="shared" si="75"/>
        <v>31009391.659061179</v>
      </c>
      <c r="Q172" s="97">
        <f t="shared" si="56"/>
        <v>-0.2336586018799946</v>
      </c>
      <c r="R172" s="97">
        <f t="shared" si="57"/>
        <v>2.1056545463597212E-2</v>
      </c>
      <c r="S172" s="71">
        <f t="shared" si="58"/>
        <v>-2.1056545463597212E-2</v>
      </c>
      <c r="T172" s="98">
        <f t="shared" si="59"/>
        <v>37.743000331793617</v>
      </c>
      <c r="U172" s="99">
        <f t="shared" si="60"/>
        <v>0.10601966385335286</v>
      </c>
      <c r="V172" s="93" t="str">
        <f t="shared" si="61"/>
        <v>SI</v>
      </c>
      <c r="W172" s="95">
        <f t="shared" si="62"/>
        <v>-821.59317983365941</v>
      </c>
      <c r="X172" s="95">
        <f t="shared" si="63"/>
        <v>31.00939165906118</v>
      </c>
      <c r="Y172" s="95">
        <f t="shared" si="64"/>
        <v>-31.00939165906118</v>
      </c>
      <c r="Z172" s="95">
        <f t="shared" si="65"/>
        <v>983.45509155854404</v>
      </c>
      <c r="AA172" s="93" t="str">
        <f t="shared" si="66"/>
        <v/>
      </c>
      <c r="AB172" s="100"/>
      <c r="AC172" s="71"/>
      <c r="AD172" s="39"/>
    </row>
    <row r="173" spans="1:30" ht="18.75" x14ac:dyDescent="0.25">
      <c r="A173" s="39"/>
      <c r="B173" s="39"/>
      <c r="C173" s="113">
        <f t="shared" si="70"/>
        <v>-3.5000000000000001E-3</v>
      </c>
      <c r="D173" s="94">
        <f t="shared" si="76"/>
        <v>5.7375000000000023E-2</v>
      </c>
      <c r="E173" s="94">
        <f t="shared" si="77"/>
        <v>4.0238764044943851E-3</v>
      </c>
      <c r="F173" s="93" t="s">
        <v>107</v>
      </c>
      <c r="G173" s="95">
        <f t="shared" si="71"/>
        <v>20.468172484599581</v>
      </c>
      <c r="H173" s="115">
        <f t="shared" si="72"/>
        <v>47.033333333333289</v>
      </c>
      <c r="I173" s="115">
        <f t="shared" si="73"/>
        <v>96.141666666666509</v>
      </c>
      <c r="J173" s="115">
        <f t="shared" si="68"/>
        <v>0.80952380952380887</v>
      </c>
      <c r="K173" s="115">
        <f t="shared" si="69"/>
        <v>0.41596638655462226</v>
      </c>
      <c r="L173" s="96">
        <f t="shared" si="53"/>
        <v>491727.54577927204</v>
      </c>
      <c r="M173" s="116">
        <f t="shared" si="74"/>
        <v>-163656.68446269658</v>
      </c>
      <c r="N173" s="96">
        <f t="shared" si="54"/>
        <v>491727.54577927204</v>
      </c>
      <c r="O173" s="96">
        <f t="shared" si="55"/>
        <v>819798.40709584742</v>
      </c>
      <c r="P173" s="116">
        <f t="shared" si="75"/>
        <v>31337952.139017567</v>
      </c>
      <c r="Q173" s="97">
        <f t="shared" si="56"/>
        <v>-0.23314817397126439</v>
      </c>
      <c r="R173" s="97">
        <f t="shared" si="57"/>
        <v>2.1279650410634166E-2</v>
      </c>
      <c r="S173" s="71">
        <f t="shared" si="58"/>
        <v>-2.1279650410634166E-2</v>
      </c>
      <c r="T173" s="98">
        <f t="shared" si="59"/>
        <v>38.226412576273354</v>
      </c>
      <c r="U173" s="99">
        <f t="shared" si="60"/>
        <v>0.10737756341649819</v>
      </c>
      <c r="V173" s="93" t="str">
        <f t="shared" si="61"/>
        <v>SI</v>
      </c>
      <c r="W173" s="95">
        <f t="shared" si="62"/>
        <v>-819.79840709584744</v>
      </c>
      <c r="X173" s="95">
        <f t="shared" si="63"/>
        <v>31.337952139017567</v>
      </c>
      <c r="Y173" s="95">
        <f t="shared" si="64"/>
        <v>-31.337952139017567</v>
      </c>
      <c r="Z173" s="95">
        <f t="shared" si="65"/>
        <v>983.45509155854404</v>
      </c>
      <c r="AA173" s="93" t="str">
        <f t="shared" si="66"/>
        <v/>
      </c>
      <c r="AB173" s="100"/>
      <c r="AC173" s="71"/>
      <c r="AD173" s="39"/>
    </row>
    <row r="174" spans="1:30" ht="18.75" x14ac:dyDescent="0.25">
      <c r="A174" s="39"/>
      <c r="B174" s="39"/>
      <c r="C174" s="113">
        <f t="shared" si="70"/>
        <v>-3.5000000000000001E-3</v>
      </c>
      <c r="D174" s="94">
        <f t="shared" si="76"/>
        <v>5.6700000000000021E-2</v>
      </c>
      <c r="E174" s="94">
        <f t="shared" si="77"/>
        <v>3.94044943820225E-3</v>
      </c>
      <c r="F174" s="93" t="s">
        <v>107</v>
      </c>
      <c r="G174" s="95">
        <f t="shared" si="71"/>
        <v>20.697674418604642</v>
      </c>
      <c r="H174" s="115">
        <f t="shared" si="72"/>
        <v>47.033333333333289</v>
      </c>
      <c r="I174" s="115">
        <f t="shared" si="73"/>
        <v>96.141666666666509</v>
      </c>
      <c r="J174" s="115">
        <f t="shared" si="68"/>
        <v>0.80952380952380887</v>
      </c>
      <c r="K174" s="115">
        <f t="shared" si="69"/>
        <v>0.41596638655462226</v>
      </c>
      <c r="L174" s="96">
        <f t="shared" si="53"/>
        <v>491727.54577927204</v>
      </c>
      <c r="M174" s="116">
        <f t="shared" si="74"/>
        <v>-165491.70542635638</v>
      </c>
      <c r="N174" s="96">
        <f t="shared" si="54"/>
        <v>491727.54577927204</v>
      </c>
      <c r="O174" s="96">
        <f t="shared" si="55"/>
        <v>817963.38613218768</v>
      </c>
      <c r="P174" s="116">
        <f t="shared" si="75"/>
        <v>31673534.151021108</v>
      </c>
      <c r="Q174" s="97">
        <f t="shared" si="56"/>
        <v>-0.23262629958949796</v>
      </c>
      <c r="R174" s="97">
        <f t="shared" si="57"/>
        <v>2.1507523242523575E-2</v>
      </c>
      <c r="S174" s="71">
        <f t="shared" si="58"/>
        <v>-2.1507523242523575E-2</v>
      </c>
      <c r="T174" s="98">
        <f t="shared" si="59"/>
        <v>38.722435121200498</v>
      </c>
      <c r="U174" s="99">
        <f t="shared" si="60"/>
        <v>0.10877088517191151</v>
      </c>
      <c r="V174" s="93" t="str">
        <f t="shared" si="61"/>
        <v>SI</v>
      </c>
      <c r="W174" s="95">
        <f t="shared" si="62"/>
        <v>-817.96338613218768</v>
      </c>
      <c r="X174" s="95">
        <f t="shared" si="63"/>
        <v>31.673534151021109</v>
      </c>
      <c r="Y174" s="95">
        <f t="shared" si="64"/>
        <v>-31.673534151021109</v>
      </c>
      <c r="Z174" s="95">
        <f t="shared" si="65"/>
        <v>983.45509155854404</v>
      </c>
      <c r="AA174" s="93" t="str">
        <f t="shared" si="66"/>
        <v/>
      </c>
      <c r="AB174" s="100"/>
      <c r="AC174" s="71"/>
      <c r="AD174" s="39"/>
    </row>
    <row r="175" spans="1:30" ht="18.75" x14ac:dyDescent="0.25">
      <c r="A175" s="39"/>
      <c r="B175" s="39"/>
      <c r="C175" s="113">
        <f t="shared" si="70"/>
        <v>-3.5000000000000001E-3</v>
      </c>
      <c r="D175" s="94">
        <f t="shared" si="76"/>
        <v>5.6025000000000019E-2</v>
      </c>
      <c r="E175" s="94">
        <f t="shared" si="77"/>
        <v>3.8570224719101155E-3</v>
      </c>
      <c r="F175" s="93" t="s">
        <v>107</v>
      </c>
      <c r="G175" s="95">
        <f t="shared" si="71"/>
        <v>20.932381352372943</v>
      </c>
      <c r="H175" s="115">
        <f t="shared" si="72"/>
        <v>47.033333333333289</v>
      </c>
      <c r="I175" s="115">
        <f t="shared" si="73"/>
        <v>96.141666666666509</v>
      </c>
      <c r="J175" s="115">
        <f t="shared" si="68"/>
        <v>0.80952380952380887</v>
      </c>
      <c r="K175" s="115">
        <f t="shared" si="69"/>
        <v>0.41596638655462226</v>
      </c>
      <c r="L175" s="96">
        <f t="shared" si="53"/>
        <v>491727.54577927204</v>
      </c>
      <c r="M175" s="116">
        <f t="shared" si="74"/>
        <v>-167368.3438331231</v>
      </c>
      <c r="N175" s="96">
        <f t="shared" si="54"/>
        <v>491727.54577927204</v>
      </c>
      <c r="O175" s="96">
        <f t="shared" si="55"/>
        <v>816086.74772542098</v>
      </c>
      <c r="P175" s="116">
        <f t="shared" si="75"/>
        <v>32016364.640811294</v>
      </c>
      <c r="Q175" s="97">
        <f t="shared" si="56"/>
        <v>-0.23209258933347054</v>
      </c>
      <c r="R175" s="97">
        <f t="shared" si="57"/>
        <v>2.1740318063974542E-2</v>
      </c>
      <c r="S175" s="71">
        <f t="shared" si="58"/>
        <v>-2.1740318063974542E-2</v>
      </c>
      <c r="T175" s="98">
        <f t="shared" si="59"/>
        <v>39.231570332500311</v>
      </c>
      <c r="U175" s="99">
        <f t="shared" si="60"/>
        <v>0.11020104025983234</v>
      </c>
      <c r="V175" s="93" t="str">
        <f t="shared" si="61"/>
        <v>SI</v>
      </c>
      <c r="W175" s="95">
        <f t="shared" si="62"/>
        <v>-816.08674772542099</v>
      </c>
      <c r="X175" s="95">
        <f t="shared" si="63"/>
        <v>32.016364640811297</v>
      </c>
      <c r="Y175" s="95">
        <f t="shared" si="64"/>
        <v>-32.016364640811297</v>
      </c>
      <c r="Z175" s="95">
        <f t="shared" si="65"/>
        <v>983.45509155854404</v>
      </c>
      <c r="AA175" s="93" t="str">
        <f t="shared" si="66"/>
        <v/>
      </c>
      <c r="AB175" s="100"/>
      <c r="AC175" s="71"/>
      <c r="AD175" s="39"/>
    </row>
    <row r="176" spans="1:30" ht="18.75" x14ac:dyDescent="0.25">
      <c r="A176" s="39"/>
      <c r="B176" s="39"/>
      <c r="C176" s="113">
        <f t="shared" si="70"/>
        <v>-3.5000000000000001E-3</v>
      </c>
      <c r="D176" s="94">
        <f t="shared" si="76"/>
        <v>5.5350000000000017E-2</v>
      </c>
      <c r="E176" s="94">
        <f t="shared" si="77"/>
        <v>3.7735955056179792E-3</v>
      </c>
      <c r="F176" s="93" t="s">
        <v>107</v>
      </c>
      <c r="G176" s="95">
        <f t="shared" si="71"/>
        <v>21.172472387425653</v>
      </c>
      <c r="H176" s="115">
        <f t="shared" si="72"/>
        <v>47.033333333333289</v>
      </c>
      <c r="I176" s="115">
        <f t="shared" si="73"/>
        <v>96.141666666666509</v>
      </c>
      <c r="J176" s="115">
        <f t="shared" si="68"/>
        <v>0.80952380952380887</v>
      </c>
      <c r="K176" s="115">
        <f t="shared" si="69"/>
        <v>0.41596638655462226</v>
      </c>
      <c r="L176" s="96">
        <f t="shared" si="53"/>
        <v>491727.54577927204</v>
      </c>
      <c r="M176" s="116">
        <f t="shared" si="74"/>
        <v>-169288.03171905957</v>
      </c>
      <c r="N176" s="96">
        <f t="shared" si="54"/>
        <v>491727.54577927204</v>
      </c>
      <c r="O176" s="96">
        <f t="shared" si="55"/>
        <v>814167.05983948451</v>
      </c>
      <c r="P176" s="116">
        <f t="shared" si="75"/>
        <v>32366680.413004145</v>
      </c>
      <c r="Q176" s="97">
        <f t="shared" si="56"/>
        <v>-0.23154663593648067</v>
      </c>
      <c r="R176" s="97">
        <f t="shared" si="57"/>
        <v>2.1978195674244864E-2</v>
      </c>
      <c r="S176" s="71">
        <f t="shared" si="58"/>
        <v>-2.1978195674244864E-2</v>
      </c>
      <c r="T176" s="98">
        <f t="shared" si="59"/>
        <v>39.754347737165062</v>
      </c>
      <c r="U176" s="99">
        <f t="shared" si="60"/>
        <v>0.11166951611563219</v>
      </c>
      <c r="V176" s="93" t="str">
        <f t="shared" si="61"/>
        <v>SI</v>
      </c>
      <c r="W176" s="95">
        <f t="shared" si="62"/>
        <v>-814.16705983948452</v>
      </c>
      <c r="X176" s="95">
        <f t="shared" si="63"/>
        <v>32.366680413004147</v>
      </c>
      <c r="Y176" s="95">
        <f t="shared" si="64"/>
        <v>-32.366680413004147</v>
      </c>
      <c r="Z176" s="95">
        <f t="shared" si="65"/>
        <v>983.45509155854404</v>
      </c>
      <c r="AA176" s="93" t="str">
        <f t="shared" si="66"/>
        <v/>
      </c>
      <c r="AB176" s="100"/>
      <c r="AC176" s="71"/>
      <c r="AD176" s="39"/>
    </row>
    <row r="177" spans="1:30" ht="18.75" x14ac:dyDescent="0.25">
      <c r="A177" s="39"/>
      <c r="B177" s="39"/>
      <c r="C177" s="113">
        <f t="shared" si="70"/>
        <v>-3.5000000000000001E-3</v>
      </c>
      <c r="D177" s="94">
        <f t="shared" si="76"/>
        <v>5.4675000000000015E-2</v>
      </c>
      <c r="E177" s="94">
        <f t="shared" si="77"/>
        <v>3.690168539325845E-3</v>
      </c>
      <c r="F177" s="93" t="s">
        <v>107</v>
      </c>
      <c r="G177" s="95">
        <f t="shared" si="71"/>
        <v>21.418134937688002</v>
      </c>
      <c r="H177" s="115">
        <f t="shared" si="72"/>
        <v>47.033333333333289</v>
      </c>
      <c r="I177" s="115">
        <f t="shared" si="73"/>
        <v>96.141666666666509</v>
      </c>
      <c r="J177" s="115">
        <f t="shared" si="68"/>
        <v>0.80952380952380887</v>
      </c>
      <c r="K177" s="115">
        <f t="shared" si="69"/>
        <v>0.41596638655462226</v>
      </c>
      <c r="L177" s="96">
        <f t="shared" si="53"/>
        <v>491727.54577927204</v>
      </c>
      <c r="M177" s="116">
        <f t="shared" si="74"/>
        <v>-171252.26758344055</v>
      </c>
      <c r="N177" s="96">
        <f t="shared" si="54"/>
        <v>491727.54577927204</v>
      </c>
      <c r="O177" s="96">
        <f t="shared" si="55"/>
        <v>812202.82397510344</v>
      </c>
      <c r="P177" s="116">
        <f t="shared" si="75"/>
        <v>32724728.670582093</v>
      </c>
      <c r="Q177" s="97">
        <f t="shared" si="56"/>
        <v>-0.2309880132298916</v>
      </c>
      <c r="R177" s="97">
        <f t="shared" si="57"/>
        <v>2.2221323933474962E-2</v>
      </c>
      <c r="S177" s="71">
        <f t="shared" si="58"/>
        <v>-2.2221323933474962E-2</v>
      </c>
      <c r="T177" s="98">
        <f t="shared" si="59"/>
        <v>40.291325891259412</v>
      </c>
      <c r="U177" s="99">
        <f t="shared" si="60"/>
        <v>0.11317788171702083</v>
      </c>
      <c r="V177" s="93" t="str">
        <f t="shared" si="61"/>
        <v>SI</v>
      </c>
      <c r="W177" s="95">
        <f t="shared" si="62"/>
        <v>-812.20282397510346</v>
      </c>
      <c r="X177" s="95">
        <f t="shared" si="63"/>
        <v>32.724728670582095</v>
      </c>
      <c r="Y177" s="95">
        <f t="shared" si="64"/>
        <v>-32.724728670582095</v>
      </c>
      <c r="Z177" s="95">
        <f t="shared" si="65"/>
        <v>983.45509155854404</v>
      </c>
      <c r="AA177" s="93" t="str">
        <f t="shared" si="66"/>
        <v/>
      </c>
      <c r="AB177" s="100"/>
      <c r="AC177" s="71"/>
      <c r="AD177" s="39"/>
    </row>
    <row r="178" spans="1:30" ht="18.75" x14ac:dyDescent="0.25">
      <c r="A178" s="39"/>
      <c r="B178" s="39"/>
      <c r="C178" s="113">
        <f t="shared" si="70"/>
        <v>-3.5000000000000001E-3</v>
      </c>
      <c r="D178" s="94">
        <f t="shared" si="76"/>
        <v>5.4000000000000013E-2</v>
      </c>
      <c r="E178" s="94">
        <f t="shared" si="77"/>
        <v>3.60674157303371E-3</v>
      </c>
      <c r="F178" s="93" t="s">
        <v>107</v>
      </c>
      <c r="G178" s="95">
        <f t="shared" si="71"/>
        <v>21.669565217391298</v>
      </c>
      <c r="H178" s="115">
        <f t="shared" si="72"/>
        <v>47.033333333333289</v>
      </c>
      <c r="I178" s="115">
        <f t="shared" si="73"/>
        <v>96.141666666666509</v>
      </c>
      <c r="J178" s="115">
        <f t="shared" si="68"/>
        <v>0.80952380952380887</v>
      </c>
      <c r="K178" s="115">
        <f t="shared" si="69"/>
        <v>0.41596638655462226</v>
      </c>
      <c r="L178" s="96">
        <f t="shared" si="53"/>
        <v>491727.54577927204</v>
      </c>
      <c r="M178" s="116">
        <f t="shared" si="74"/>
        <v>-173262.62028985488</v>
      </c>
      <c r="N178" s="96">
        <f t="shared" si="54"/>
        <v>491727.54577927204</v>
      </c>
      <c r="O178" s="96">
        <f t="shared" si="55"/>
        <v>810192.47126868926</v>
      </c>
      <c r="P178" s="116">
        <f t="shared" si="75"/>
        <v>33090767.590069279</v>
      </c>
      <c r="Q178" s="97">
        <f t="shared" si="56"/>
        <v>-0.23041627503366957</v>
      </c>
      <c r="R178" s="97">
        <f t="shared" si="57"/>
        <v>2.2469878153253593E-2</v>
      </c>
      <c r="S178" s="71">
        <f t="shared" si="58"/>
        <v>-2.2469878153253593E-2</v>
      </c>
      <c r="T178" s="98">
        <f t="shared" si="59"/>
        <v>40.843094404780238</v>
      </c>
      <c r="U178" s="99">
        <f t="shared" si="60"/>
        <v>0.1147277932718546</v>
      </c>
      <c r="V178" s="93" t="str">
        <f t="shared" si="61"/>
        <v>SI</v>
      </c>
      <c r="W178" s="95">
        <f t="shared" si="62"/>
        <v>-810.19247126868925</v>
      </c>
      <c r="X178" s="95">
        <f t="shared" si="63"/>
        <v>33.090767590069277</v>
      </c>
      <c r="Y178" s="95">
        <f t="shared" si="64"/>
        <v>-33.090767590069277</v>
      </c>
      <c r="Z178" s="95">
        <f t="shared" si="65"/>
        <v>983.45509155854404</v>
      </c>
      <c r="AA178" s="93" t="str">
        <f t="shared" si="66"/>
        <v/>
      </c>
      <c r="AB178" s="100"/>
      <c r="AC178" s="71"/>
      <c r="AD178" s="39"/>
    </row>
    <row r="179" spans="1:30" ht="18.75" x14ac:dyDescent="0.25">
      <c r="A179" s="39"/>
      <c r="B179" s="39"/>
      <c r="C179" s="113">
        <f t="shared" si="70"/>
        <v>-3.5000000000000001E-3</v>
      </c>
      <c r="D179" s="94">
        <f t="shared" si="76"/>
        <v>5.3325000000000011E-2</v>
      </c>
      <c r="E179" s="94">
        <f t="shared" si="77"/>
        <v>3.5233146067415746E-3</v>
      </c>
      <c r="F179" s="93" t="s">
        <v>107</v>
      </c>
      <c r="G179" s="95">
        <f t="shared" si="71"/>
        <v>21.926968763748345</v>
      </c>
      <c r="H179" s="115">
        <f t="shared" si="72"/>
        <v>47.033333333333289</v>
      </c>
      <c r="I179" s="115">
        <f t="shared" si="73"/>
        <v>96.141666666666509</v>
      </c>
      <c r="J179" s="115">
        <f t="shared" si="68"/>
        <v>0.80952380952380887</v>
      </c>
      <c r="K179" s="115">
        <f t="shared" si="69"/>
        <v>0.41596638655462226</v>
      </c>
      <c r="L179" s="96">
        <f t="shared" si="53"/>
        <v>491727.54577927204</v>
      </c>
      <c r="M179" s="116">
        <f t="shared" si="74"/>
        <v>-175320.7332453437</v>
      </c>
      <c r="N179" s="96">
        <f t="shared" si="54"/>
        <v>491727.54577927204</v>
      </c>
      <c r="O179" s="96">
        <f t="shared" si="55"/>
        <v>808134.3583132003</v>
      </c>
      <c r="P179" s="116">
        <f t="shared" si="75"/>
        <v>33465066.935164109</v>
      </c>
      <c r="Q179" s="97">
        <f t="shared" si="56"/>
        <v>-0.22983095396784961</v>
      </c>
      <c r="R179" s="97">
        <f t="shared" si="57"/>
        <v>2.2724041513297481E-2</v>
      </c>
      <c r="S179" s="71">
        <f t="shared" si="58"/>
        <v>-2.2724041513297481E-2</v>
      </c>
      <c r="T179" s="98">
        <f t="shared" si="59"/>
        <v>41.410276139001134</v>
      </c>
      <c r="U179" s="99">
        <f t="shared" si="60"/>
        <v>0.11632100039045262</v>
      </c>
      <c r="V179" s="93" t="str">
        <f t="shared" si="61"/>
        <v>SI</v>
      </c>
      <c r="W179" s="95">
        <f t="shared" si="62"/>
        <v>-808.13435831320032</v>
      </c>
      <c r="X179" s="95">
        <f t="shared" si="63"/>
        <v>33.46506693516411</v>
      </c>
      <c r="Y179" s="95">
        <f t="shared" si="64"/>
        <v>-33.46506693516411</v>
      </c>
      <c r="Z179" s="95">
        <f t="shared" si="65"/>
        <v>983.45509155854404</v>
      </c>
      <c r="AA179" s="93" t="str">
        <f t="shared" si="66"/>
        <v/>
      </c>
      <c r="AB179" s="100"/>
      <c r="AC179" s="71"/>
      <c r="AD179" s="39"/>
    </row>
    <row r="180" spans="1:30" ht="18.75" x14ac:dyDescent="0.25">
      <c r="A180" s="39"/>
      <c r="B180" s="39"/>
      <c r="C180" s="113">
        <f t="shared" si="70"/>
        <v>-3.5000000000000001E-3</v>
      </c>
      <c r="D180" s="94">
        <f t="shared" si="76"/>
        <v>5.2650000000000009E-2</v>
      </c>
      <c r="E180" s="94">
        <f t="shared" si="77"/>
        <v>3.4398876404494391E-3</v>
      </c>
      <c r="F180" s="93" t="s">
        <v>107</v>
      </c>
      <c r="G180" s="95">
        <f t="shared" si="71"/>
        <v>22.190560997328582</v>
      </c>
      <c r="H180" s="115">
        <f t="shared" si="72"/>
        <v>47.033333333333289</v>
      </c>
      <c r="I180" s="115">
        <f t="shared" si="73"/>
        <v>96.141666666666509</v>
      </c>
      <c r="J180" s="115">
        <f t="shared" si="68"/>
        <v>0.80952380952380887</v>
      </c>
      <c r="K180" s="115">
        <f t="shared" si="69"/>
        <v>0.41596638655462226</v>
      </c>
      <c r="L180" s="96">
        <f t="shared" si="53"/>
        <v>491727.54577927204</v>
      </c>
      <c r="M180" s="116">
        <f t="shared" si="74"/>
        <v>-177428.32888097342</v>
      </c>
      <c r="N180" s="96">
        <f t="shared" si="54"/>
        <v>491727.54577927204</v>
      </c>
      <c r="O180" s="96">
        <f t="shared" si="55"/>
        <v>806026.76267757057</v>
      </c>
      <c r="P180" s="116">
        <f t="shared" si="75"/>
        <v>33847908.711849958</v>
      </c>
      <c r="Q180" s="97">
        <f t="shared" si="56"/>
        <v>-0.22923156017827442</v>
      </c>
      <c r="R180" s="97">
        <f t="shared" si="57"/>
        <v>2.2984005506296177E-2</v>
      </c>
      <c r="S180" s="71">
        <f t="shared" si="58"/>
        <v>-2.2984005506296177E-2</v>
      </c>
      <c r="T180" s="98">
        <f t="shared" si="59"/>
        <v>41.993529593743659</v>
      </c>
      <c r="U180" s="99">
        <f t="shared" si="60"/>
        <v>0.11795935279141477</v>
      </c>
      <c r="V180" s="93" t="str">
        <f t="shared" si="61"/>
        <v>SI</v>
      </c>
      <c r="W180" s="95">
        <f t="shared" si="62"/>
        <v>-806.02676267757056</v>
      </c>
      <c r="X180" s="95">
        <f t="shared" si="63"/>
        <v>33.847908711849961</v>
      </c>
      <c r="Y180" s="95">
        <f t="shared" si="64"/>
        <v>-33.847908711849961</v>
      </c>
      <c r="Z180" s="95">
        <f t="shared" si="65"/>
        <v>983.45509155854404</v>
      </c>
      <c r="AA180" s="93" t="str">
        <f t="shared" si="66"/>
        <v/>
      </c>
      <c r="AB180" s="100"/>
      <c r="AC180" s="71"/>
      <c r="AD180" s="39"/>
    </row>
    <row r="181" spans="1:30" ht="18.75" x14ac:dyDescent="0.25">
      <c r="A181" s="39"/>
      <c r="B181" s="39"/>
      <c r="C181" s="113">
        <f t="shared" si="70"/>
        <v>-3.5000000000000001E-3</v>
      </c>
      <c r="D181" s="94">
        <f t="shared" si="76"/>
        <v>5.1975000000000007E-2</v>
      </c>
      <c r="E181" s="94">
        <f t="shared" si="77"/>
        <v>3.3564606741573032E-3</v>
      </c>
      <c r="F181" s="93" t="s">
        <v>107</v>
      </c>
      <c r="G181" s="95">
        <f t="shared" si="71"/>
        <v>22.460567823343847</v>
      </c>
      <c r="H181" s="115">
        <f t="shared" si="72"/>
        <v>47.033333333333289</v>
      </c>
      <c r="I181" s="115">
        <f t="shared" si="73"/>
        <v>96.141666666666509</v>
      </c>
      <c r="J181" s="115">
        <f t="shared" si="68"/>
        <v>0.80952380952380887</v>
      </c>
      <c r="K181" s="115">
        <f t="shared" si="69"/>
        <v>0.41596638655462226</v>
      </c>
      <c r="L181" s="96">
        <f t="shared" si="53"/>
        <v>491727.54577927204</v>
      </c>
      <c r="M181" s="116">
        <f t="shared" si="74"/>
        <v>-179587.21345951615</v>
      </c>
      <c r="N181" s="96">
        <f t="shared" si="54"/>
        <v>491727.54577927204</v>
      </c>
      <c r="O181" s="96">
        <f t="shared" si="55"/>
        <v>803867.87809902802</v>
      </c>
      <c r="P181" s="116">
        <f t="shared" si="75"/>
        <v>34239587.868276477</v>
      </c>
      <c r="Q181" s="97">
        <f t="shared" si="56"/>
        <v>-0.22861757996930451</v>
      </c>
      <c r="R181" s="97">
        <f t="shared" si="57"/>
        <v>2.3249970413157819E-2</v>
      </c>
      <c r="S181" s="71">
        <f t="shared" si="58"/>
        <v>-2.3249970413157819E-2</v>
      </c>
      <c r="T181" s="98">
        <f t="shared" si="59"/>
        <v>42.593551504067591</v>
      </c>
      <c r="U181" s="99">
        <f t="shared" si="60"/>
        <v>0.11964480759569548</v>
      </c>
      <c r="V181" s="93" t="str">
        <f t="shared" si="61"/>
        <v>SI</v>
      </c>
      <c r="W181" s="95">
        <f t="shared" si="62"/>
        <v>-803.86787809902808</v>
      </c>
      <c r="X181" s="95">
        <f t="shared" si="63"/>
        <v>34.23958786827648</v>
      </c>
      <c r="Y181" s="95">
        <f t="shared" si="64"/>
        <v>-34.23958786827648</v>
      </c>
      <c r="Z181" s="95">
        <f t="shared" si="65"/>
        <v>983.45509155854404</v>
      </c>
      <c r="AA181" s="93" t="str">
        <f t="shared" si="66"/>
        <v/>
      </c>
      <c r="AB181" s="100"/>
      <c r="AC181" s="71"/>
      <c r="AD181" s="39"/>
    </row>
    <row r="182" spans="1:30" ht="18.75" x14ac:dyDescent="0.25">
      <c r="A182" s="39"/>
      <c r="B182" s="39"/>
      <c r="C182" s="113">
        <f t="shared" si="70"/>
        <v>-3.5000000000000001E-3</v>
      </c>
      <c r="D182" s="94">
        <f t="shared" si="76"/>
        <v>5.1300000000000005E-2</v>
      </c>
      <c r="E182" s="94">
        <f t="shared" si="77"/>
        <v>3.27303370786517E-3</v>
      </c>
      <c r="F182" s="93" t="s">
        <v>107</v>
      </c>
      <c r="G182" s="95">
        <f t="shared" si="71"/>
        <v>22.737226277372258</v>
      </c>
      <c r="H182" s="115">
        <f t="shared" si="72"/>
        <v>47.033333333333289</v>
      </c>
      <c r="I182" s="115">
        <f t="shared" si="73"/>
        <v>96.141666666666509</v>
      </c>
      <c r="J182" s="115">
        <f t="shared" si="68"/>
        <v>0.80952380952380887</v>
      </c>
      <c r="K182" s="115">
        <f t="shared" si="69"/>
        <v>0.41596638655462226</v>
      </c>
      <c r="L182" s="96">
        <f t="shared" si="53"/>
        <v>491727.54577927204</v>
      </c>
      <c r="M182" s="116">
        <f t="shared" si="74"/>
        <v>-181799.28223844263</v>
      </c>
      <c r="N182" s="96">
        <f t="shared" si="54"/>
        <v>491727.54577927204</v>
      </c>
      <c r="O182" s="96">
        <f t="shared" si="55"/>
        <v>801655.80932010151</v>
      </c>
      <c r="P182" s="116">
        <f t="shared" si="75"/>
        <v>34640413.043005273</v>
      </c>
      <c r="Q182" s="97">
        <f t="shared" si="56"/>
        <v>-0.22798847433547853</v>
      </c>
      <c r="R182" s="97">
        <f t="shared" si="57"/>
        <v>2.3522145811096171E-2</v>
      </c>
      <c r="S182" s="71">
        <f t="shared" si="58"/>
        <v>-2.3522145811096171E-2</v>
      </c>
      <c r="T182" s="98">
        <f t="shared" si="59"/>
        <v>43.211079668198778</v>
      </c>
      <c r="U182" s="134">
        <f t="shared" si="60"/>
        <v>0.12137943727022128</v>
      </c>
      <c r="V182" s="93" t="str">
        <f t="shared" si="61"/>
        <v>SI</v>
      </c>
      <c r="W182" s="95">
        <f t="shared" si="62"/>
        <v>-801.65580932010153</v>
      </c>
      <c r="X182" s="95">
        <f t="shared" si="63"/>
        <v>34.640413043005275</v>
      </c>
      <c r="Y182" s="95">
        <f t="shared" si="64"/>
        <v>-34.640413043005275</v>
      </c>
      <c r="Z182" s="95">
        <f t="shared" si="65"/>
        <v>983.45509155854404</v>
      </c>
      <c r="AA182" s="93" t="str">
        <f t="shared" si="66"/>
        <v/>
      </c>
      <c r="AB182" s="100"/>
      <c r="AC182" s="71"/>
      <c r="AD182" s="39"/>
    </row>
    <row r="183" spans="1:30" ht="18.75" x14ac:dyDescent="0.25">
      <c r="A183" s="39"/>
      <c r="B183" s="39"/>
      <c r="C183" s="113">
        <f t="shared" si="70"/>
        <v>-3.5000000000000001E-3</v>
      </c>
      <c r="D183" s="94">
        <f t="shared" si="76"/>
        <v>5.0625000000000003E-2</v>
      </c>
      <c r="E183" s="94">
        <f t="shared" si="77"/>
        <v>3.1896067415730345E-3</v>
      </c>
      <c r="F183" s="93" t="s">
        <v>107</v>
      </c>
      <c r="G183" s="95">
        <f t="shared" si="71"/>
        <v>23.020785219399535</v>
      </c>
      <c r="H183" s="115">
        <f t="shared" si="72"/>
        <v>47.033333333333289</v>
      </c>
      <c r="I183" s="115">
        <f t="shared" si="73"/>
        <v>96.141666666666509</v>
      </c>
      <c r="J183" s="115">
        <f t="shared" si="68"/>
        <v>0.80952380952380887</v>
      </c>
      <c r="K183" s="115">
        <f t="shared" si="69"/>
        <v>0.41596638655462226</v>
      </c>
      <c r="L183" s="96">
        <f t="shared" si="53"/>
        <v>491727.54577927204</v>
      </c>
      <c r="M183" s="116">
        <f t="shared" si="74"/>
        <v>-184066.5250192454</v>
      </c>
      <c r="N183" s="96">
        <f t="shared" si="54"/>
        <v>491727.54577927204</v>
      </c>
      <c r="O183" s="96">
        <f t="shared" si="55"/>
        <v>799388.56653929874</v>
      </c>
      <c r="P183" s="116">
        <f t="shared" si="75"/>
        <v>35050707.365544967</v>
      </c>
      <c r="Q183" s="97">
        <f t="shared" si="56"/>
        <v>-0.22734367738330308</v>
      </c>
      <c r="R183" s="97">
        <f t="shared" si="57"/>
        <v>2.3800751117224076E-2</v>
      </c>
      <c r="S183" s="71">
        <f t="shared" si="58"/>
        <v>-2.3800751117224076E-2</v>
      </c>
      <c r="T183" s="98">
        <f t="shared" si="59"/>
        <v>43.846896031157883</v>
      </c>
      <c r="U183" s="134">
        <f t="shared" si="60"/>
        <v>0.12316543828976934</v>
      </c>
      <c r="V183" s="93" t="str">
        <f t="shared" si="61"/>
        <v>SI</v>
      </c>
      <c r="W183" s="95">
        <f t="shared" si="62"/>
        <v>-799.38856653929872</v>
      </c>
      <c r="X183" s="95">
        <f t="shared" si="63"/>
        <v>35.050707365544966</v>
      </c>
      <c r="Y183" s="95">
        <f t="shared" si="64"/>
        <v>-35.050707365544966</v>
      </c>
      <c r="Z183" s="95">
        <f t="shared" si="65"/>
        <v>983.45509155854404</v>
      </c>
      <c r="AA183" s="93" t="str">
        <f t="shared" si="66"/>
        <v/>
      </c>
      <c r="AB183" s="100"/>
      <c r="AC183" s="71"/>
      <c r="AD183" s="39"/>
    </row>
    <row r="184" spans="1:30" ht="18.75" x14ac:dyDescent="0.25">
      <c r="A184" s="39"/>
      <c r="B184" s="39"/>
      <c r="C184" s="113">
        <f t="shared" si="70"/>
        <v>-3.5000000000000001E-3</v>
      </c>
      <c r="D184" s="94">
        <f t="shared" si="76"/>
        <v>4.9950000000000001E-2</v>
      </c>
      <c r="E184" s="94">
        <f t="shared" si="77"/>
        <v>3.1061797752809004E-3</v>
      </c>
      <c r="F184" s="93" t="s">
        <v>107</v>
      </c>
      <c r="G184" s="95">
        <f t="shared" si="71"/>
        <v>23.311506080449014</v>
      </c>
      <c r="H184" s="115">
        <f t="shared" si="72"/>
        <v>47.033333333333289</v>
      </c>
      <c r="I184" s="115">
        <f t="shared" si="73"/>
        <v>96.141666666666509</v>
      </c>
      <c r="J184" s="115">
        <f t="shared" si="68"/>
        <v>0.80952380952380887</v>
      </c>
      <c r="K184" s="115">
        <f t="shared" si="69"/>
        <v>0.41596638655462226</v>
      </c>
      <c r="L184" s="96">
        <f t="shared" si="53"/>
        <v>491727.54577927204</v>
      </c>
      <c r="M184" s="116">
        <f t="shared" si="74"/>
        <v>-186391.03211724333</v>
      </c>
      <c r="N184" s="96">
        <f t="shared" si="54"/>
        <v>491727.54577927204</v>
      </c>
      <c r="O184" s="96">
        <f t="shared" si="55"/>
        <v>797064.05944130081</v>
      </c>
      <c r="P184" s="116">
        <f t="shared" si="75"/>
        <v>35470809.313466787</v>
      </c>
      <c r="Q184" s="97">
        <f t="shared" si="56"/>
        <v>-0.22668259463345808</v>
      </c>
      <c r="R184" s="97">
        <f t="shared" si="57"/>
        <v>2.4086016170567253E-2</v>
      </c>
      <c r="S184" s="71">
        <f t="shared" si="58"/>
        <v>-2.4086016170567253E-2</v>
      </c>
      <c r="T184" s="98">
        <f t="shared" si="59"/>
        <v>44.50183005156439</v>
      </c>
      <c r="U184" s="134">
        <f t="shared" si="60"/>
        <v>0.125005140594282</v>
      </c>
      <c r="V184" s="93" t="str">
        <f t="shared" si="61"/>
        <v>SI</v>
      </c>
      <c r="W184" s="95">
        <f t="shared" si="62"/>
        <v>-797.06405944130086</v>
      </c>
      <c r="X184" s="95">
        <f t="shared" si="63"/>
        <v>35.470809313466788</v>
      </c>
      <c r="Y184" s="95">
        <f t="shared" si="64"/>
        <v>-35.470809313466788</v>
      </c>
      <c r="Z184" s="95">
        <f t="shared" si="65"/>
        <v>983.45509155854404</v>
      </c>
      <c r="AA184" s="93" t="str">
        <f t="shared" si="66"/>
        <v/>
      </c>
      <c r="AB184" s="100"/>
      <c r="AC184" s="71"/>
      <c r="AD184" s="39"/>
    </row>
    <row r="185" spans="1:30" ht="18.75" x14ac:dyDescent="0.25">
      <c r="A185" s="39"/>
      <c r="B185" s="39"/>
      <c r="C185" s="113">
        <f t="shared" si="70"/>
        <v>-3.5000000000000001E-3</v>
      </c>
      <c r="D185" s="94">
        <f t="shared" si="76"/>
        <v>4.9274999999999999E-2</v>
      </c>
      <c r="E185" s="94">
        <f t="shared" si="77"/>
        <v>3.0227528089887645E-3</v>
      </c>
      <c r="F185" s="93" t="s">
        <v>107</v>
      </c>
      <c r="G185" s="95">
        <f t="shared" si="71"/>
        <v>23.609663666508762</v>
      </c>
      <c r="H185" s="115">
        <f t="shared" si="72"/>
        <v>47.033333333333289</v>
      </c>
      <c r="I185" s="115">
        <f t="shared" si="73"/>
        <v>96.141666666666509</v>
      </c>
      <c r="J185" s="115">
        <f t="shared" si="68"/>
        <v>0.80952380952380887</v>
      </c>
      <c r="K185" s="115">
        <f t="shared" si="69"/>
        <v>0.41596638655462226</v>
      </c>
      <c r="L185" s="96">
        <f t="shared" si="53"/>
        <v>491727.54577927204</v>
      </c>
      <c r="M185" s="116">
        <f t="shared" si="74"/>
        <v>-188775.00078951506</v>
      </c>
      <c r="N185" s="96">
        <f t="shared" si="54"/>
        <v>491727.54577927204</v>
      </c>
      <c r="O185" s="96">
        <f t="shared" si="55"/>
        <v>794680.09076902899</v>
      </c>
      <c r="P185" s="116">
        <f t="shared" si="75"/>
        <v>35901073.630796909</v>
      </c>
      <c r="Q185" s="97">
        <f t="shared" si="56"/>
        <v>-0.22600460119271223</v>
      </c>
      <c r="R185" s="97">
        <f t="shared" si="57"/>
        <v>2.4378181855687298E-2</v>
      </c>
      <c r="S185" s="71">
        <f t="shared" si="58"/>
        <v>-2.4378181855687298E-2</v>
      </c>
      <c r="T185" s="98">
        <f t="shared" si="59"/>
        <v>45.17676238252637</v>
      </c>
      <c r="U185" s="134">
        <f t="shared" si="60"/>
        <v>0.12690101792844485</v>
      </c>
      <c r="V185" s="93" t="str">
        <f t="shared" si="61"/>
        <v>SI</v>
      </c>
      <c r="W185" s="95">
        <f t="shared" si="62"/>
        <v>-794.68009076902899</v>
      </c>
      <c r="X185" s="95">
        <f t="shared" si="63"/>
        <v>35.901073630796908</v>
      </c>
      <c r="Y185" s="95">
        <f t="shared" si="64"/>
        <v>-35.901073630796908</v>
      </c>
      <c r="Z185" s="95">
        <f t="shared" si="65"/>
        <v>983.45509155854404</v>
      </c>
      <c r="AA185" s="93" t="str">
        <f t="shared" si="66"/>
        <v/>
      </c>
      <c r="AB185" s="100"/>
      <c r="AC185" s="71"/>
      <c r="AD185" s="39"/>
    </row>
    <row r="186" spans="1:30" ht="18.75" x14ac:dyDescent="0.25">
      <c r="A186" s="39"/>
      <c r="B186" s="39"/>
      <c r="C186" s="113">
        <f t="shared" si="70"/>
        <v>-3.5000000000000001E-3</v>
      </c>
      <c r="D186" s="94">
        <f t="shared" si="76"/>
        <v>4.8599999999999997E-2</v>
      </c>
      <c r="E186" s="94">
        <f t="shared" si="77"/>
        <v>2.9393258426966295E-3</v>
      </c>
      <c r="F186" s="93" t="s">
        <v>107</v>
      </c>
      <c r="G186" s="95">
        <f t="shared" si="71"/>
        <v>23.915547024952016</v>
      </c>
      <c r="H186" s="115">
        <f t="shared" si="72"/>
        <v>47.033333333333289</v>
      </c>
      <c r="I186" s="115">
        <f t="shared" si="73"/>
        <v>96.141666666666509</v>
      </c>
      <c r="J186" s="115">
        <f t="shared" ref="J186:J217" si="78">H186/($I$10*(-$I$12))</f>
        <v>0.80952380952380887</v>
      </c>
      <c r="K186" s="115">
        <f t="shared" si="69"/>
        <v>0.41596638655462226</v>
      </c>
      <c r="L186" s="96">
        <f t="shared" si="53"/>
        <v>491727.54577927204</v>
      </c>
      <c r="M186" s="116">
        <f t="shared" si="74"/>
        <v>-191220.74216250784</v>
      </c>
      <c r="N186" s="96">
        <f t="shared" si="54"/>
        <v>491727.54577927204</v>
      </c>
      <c r="O186" s="96">
        <f t="shared" si="55"/>
        <v>792234.34939603624</v>
      </c>
      <c r="P186" s="116">
        <f t="shared" si="75"/>
        <v>36341872.312829152</v>
      </c>
      <c r="Q186" s="97">
        <f t="shared" si="56"/>
        <v>-0.22530903978373212</v>
      </c>
      <c r="R186" s="97">
        <f t="shared" si="57"/>
        <v>2.4677500771406607E-2</v>
      </c>
      <c r="S186" s="71">
        <f t="shared" si="58"/>
        <v>-2.4677500771406607E-2</v>
      </c>
      <c r="T186" s="98">
        <f t="shared" si="59"/>
        <v>45.872628901453915</v>
      </c>
      <c r="U186" s="134">
        <f t="shared" si="60"/>
        <v>0.12885569916138739</v>
      </c>
      <c r="V186" s="93" t="str">
        <f t="shared" si="61"/>
        <v>SI</v>
      </c>
      <c r="W186" s="95">
        <f t="shared" si="62"/>
        <v>-792.23434939603624</v>
      </c>
      <c r="X186" s="95">
        <f t="shared" si="63"/>
        <v>36.341872312829153</v>
      </c>
      <c r="Y186" s="95">
        <f t="shared" si="64"/>
        <v>-36.341872312829153</v>
      </c>
      <c r="Z186" s="95">
        <f t="shared" si="65"/>
        <v>983.45509155854404</v>
      </c>
      <c r="AA186" s="93" t="str">
        <f t="shared" si="66"/>
        <v/>
      </c>
      <c r="AB186" s="100"/>
      <c r="AC186" s="71"/>
      <c r="AD186" s="39"/>
    </row>
    <row r="187" spans="1:30" ht="18.75" x14ac:dyDescent="0.25">
      <c r="A187" s="39"/>
      <c r="B187" s="39"/>
      <c r="C187" s="113">
        <f t="shared" si="70"/>
        <v>-3.5000000000000001E-3</v>
      </c>
      <c r="D187" s="94">
        <f t="shared" si="76"/>
        <v>4.7924999999999995E-2</v>
      </c>
      <c r="E187" s="94">
        <f t="shared" si="77"/>
        <v>2.8558988764044945E-3</v>
      </c>
      <c r="F187" s="93" t="s">
        <v>107</v>
      </c>
      <c r="G187" s="95">
        <f t="shared" si="71"/>
        <v>24.229460379193</v>
      </c>
      <c r="H187" s="115">
        <f t="shared" si="72"/>
        <v>47.033333333333289</v>
      </c>
      <c r="I187" s="115">
        <f t="shared" si="73"/>
        <v>96.141666666666509</v>
      </c>
      <c r="J187" s="115">
        <f t="shared" si="78"/>
        <v>0.80952380952380887</v>
      </c>
      <c r="K187" s="115">
        <f t="shared" ref="K187:K218" si="79">1-(I187/H187)/(-C187*10^3)</f>
        <v>0.41596638655462226</v>
      </c>
      <c r="L187" s="96">
        <f t="shared" si="53"/>
        <v>491727.54577927204</v>
      </c>
      <c r="M187" s="116">
        <f t="shared" si="74"/>
        <v>-193730.688705234</v>
      </c>
      <c r="N187" s="96">
        <f t="shared" si="54"/>
        <v>491727.54577927204</v>
      </c>
      <c r="O187" s="96">
        <f t="shared" si="55"/>
        <v>789724.40285331011</v>
      </c>
      <c r="P187" s="116">
        <f t="shared" si="75"/>
        <v>36793595.662998453</v>
      </c>
      <c r="Q187" s="97">
        <f t="shared" si="56"/>
        <v>-0.22459521861972775</v>
      </c>
      <c r="R187" s="97">
        <f t="shared" si="57"/>
        <v>2.4984237948465316E-2</v>
      </c>
      <c r="S187" s="71">
        <f t="shared" si="58"/>
        <v>-2.4984237948465316E-2</v>
      </c>
      <c r="T187" s="98">
        <f t="shared" si="59"/>
        <v>46.590425128135237</v>
      </c>
      <c r="U187" s="134">
        <f t="shared" si="60"/>
        <v>0.13087198069700909</v>
      </c>
      <c r="V187" s="93" t="str">
        <f t="shared" si="61"/>
        <v>SI</v>
      </c>
      <c r="W187" s="95">
        <f t="shared" si="62"/>
        <v>-789.72440285331015</v>
      </c>
      <c r="X187" s="95">
        <f t="shared" si="63"/>
        <v>36.793595662998456</v>
      </c>
      <c r="Y187" s="95">
        <f t="shared" si="64"/>
        <v>-36.793595662998456</v>
      </c>
      <c r="Z187" s="95">
        <f t="shared" si="65"/>
        <v>983.45509155854404</v>
      </c>
      <c r="AA187" s="93" t="str">
        <f t="shared" si="66"/>
        <v/>
      </c>
      <c r="AB187" s="100"/>
      <c r="AC187" s="71"/>
      <c r="AD187" s="39"/>
    </row>
    <row r="188" spans="1:30" ht="18.75" x14ac:dyDescent="0.25">
      <c r="A188" s="39"/>
      <c r="B188" s="39"/>
      <c r="C188" s="113">
        <f t="shared" si="70"/>
        <v>-3.5000000000000001E-3</v>
      </c>
      <c r="D188" s="94">
        <f t="shared" si="76"/>
        <v>4.7249999999999993E-2</v>
      </c>
      <c r="E188" s="94">
        <f t="shared" si="77"/>
        <v>2.7724719101123586E-3</v>
      </c>
      <c r="F188" s="93" t="s">
        <v>107</v>
      </c>
      <c r="G188" s="95">
        <f t="shared" si="71"/>
        <v>24.551724137931039</v>
      </c>
      <c r="H188" s="115">
        <f t="shared" si="72"/>
        <v>47.033333333333289</v>
      </c>
      <c r="I188" s="115">
        <f t="shared" si="73"/>
        <v>96.141666666666509</v>
      </c>
      <c r="J188" s="115">
        <f t="shared" si="78"/>
        <v>0.80952380952380887</v>
      </c>
      <c r="K188" s="115">
        <f t="shared" si="79"/>
        <v>0.41596638655462226</v>
      </c>
      <c r="L188" s="96">
        <f t="shared" si="53"/>
        <v>491727.54577927204</v>
      </c>
      <c r="M188" s="116">
        <f t="shared" si="74"/>
        <v>-196307.40229885044</v>
      </c>
      <c r="N188" s="96">
        <f t="shared" si="54"/>
        <v>491727.54577927204</v>
      </c>
      <c r="O188" s="96">
        <f t="shared" si="55"/>
        <v>787147.68925969373</v>
      </c>
      <c r="P188" s="116">
        <f t="shared" si="75"/>
        <v>37256653.428005181</v>
      </c>
      <c r="Q188" s="97">
        <f t="shared" si="56"/>
        <v>-0.22386240910948879</v>
      </c>
      <c r="R188" s="97">
        <f t="shared" si="57"/>
        <v>2.5298671620313462E-2</v>
      </c>
      <c r="S188" s="71">
        <f t="shared" si="58"/>
        <v>-2.5298671620313462E-2</v>
      </c>
      <c r="T188" s="98">
        <f t="shared" si="59"/>
        <v>47.331211075579439</v>
      </c>
      <c r="U188" s="134">
        <f t="shared" si="60"/>
        <v>0.13295284009994224</v>
      </c>
      <c r="V188" s="93" t="str">
        <f t="shared" si="61"/>
        <v>SI</v>
      </c>
      <c r="W188" s="95">
        <f t="shared" si="62"/>
        <v>-787.14768925969372</v>
      </c>
      <c r="X188" s="95">
        <f t="shared" si="63"/>
        <v>37.25665342800518</v>
      </c>
      <c r="Y188" s="95">
        <f t="shared" si="64"/>
        <v>-37.25665342800518</v>
      </c>
      <c r="Z188" s="95">
        <f t="shared" si="65"/>
        <v>983.45509155854404</v>
      </c>
      <c r="AA188" s="93" t="str">
        <f t="shared" si="66"/>
        <v/>
      </c>
      <c r="AB188" s="100"/>
      <c r="AC188" s="71"/>
      <c r="AD188" s="39"/>
    </row>
    <row r="189" spans="1:30" ht="18.75" x14ac:dyDescent="0.25">
      <c r="A189" s="39"/>
      <c r="B189" s="39"/>
      <c r="C189" s="113">
        <f t="shared" si="70"/>
        <v>-3.5000000000000001E-3</v>
      </c>
      <c r="D189" s="94">
        <f t="shared" si="76"/>
        <v>4.6574999999999991E-2</v>
      </c>
      <c r="E189" s="94">
        <f t="shared" si="77"/>
        <v>2.689044943820224E-3</v>
      </c>
      <c r="F189" s="93" t="s">
        <v>107</v>
      </c>
      <c r="G189" s="95">
        <f t="shared" si="71"/>
        <v>24.882675986020971</v>
      </c>
      <c r="H189" s="115">
        <f t="shared" si="72"/>
        <v>47.033333333333289</v>
      </c>
      <c r="I189" s="115">
        <f t="shared" si="73"/>
        <v>96.141666666666509</v>
      </c>
      <c r="J189" s="115">
        <f t="shared" si="78"/>
        <v>0.80952380952380887</v>
      </c>
      <c r="K189" s="115">
        <f t="shared" si="79"/>
        <v>0.41596638655462226</v>
      </c>
      <c r="L189" s="96">
        <f t="shared" si="53"/>
        <v>491727.54577927204</v>
      </c>
      <c r="M189" s="116">
        <f t="shared" si="74"/>
        <v>-198953.58295889484</v>
      </c>
      <c r="N189" s="96">
        <f t="shared" si="54"/>
        <v>491727.54577927204</v>
      </c>
      <c r="O189" s="96">
        <f t="shared" si="55"/>
        <v>784501.50859964918</v>
      </c>
      <c r="P189" s="116">
        <f t="shared" si="75"/>
        <v>37731476.017991625</v>
      </c>
      <c r="Q189" s="97">
        <f t="shared" si="56"/>
        <v>-0.223109843376807</v>
      </c>
      <c r="R189" s="97">
        <f t="shared" si="57"/>
        <v>2.5621094051656808E-2</v>
      </c>
      <c r="S189" s="71">
        <f t="shared" si="58"/>
        <v>-2.5621094051656808E-2</v>
      </c>
      <c r="T189" s="98">
        <f t="shared" si="59"/>
        <v>48.096116584075233</v>
      </c>
      <c r="U189" s="134">
        <f t="shared" si="60"/>
        <v>0.13510145107886301</v>
      </c>
      <c r="V189" s="93" t="str">
        <f t="shared" si="61"/>
        <v>SI</v>
      </c>
      <c r="W189" s="95">
        <f t="shared" si="62"/>
        <v>-784.50150859964913</v>
      </c>
      <c r="X189" s="95">
        <f t="shared" si="63"/>
        <v>37.731476017991625</v>
      </c>
      <c r="Y189" s="95">
        <f t="shared" si="64"/>
        <v>-37.731476017991625</v>
      </c>
      <c r="Z189" s="95">
        <f t="shared" si="65"/>
        <v>983.45509155854404</v>
      </c>
      <c r="AA189" s="93" t="str">
        <f t="shared" si="66"/>
        <v/>
      </c>
      <c r="AB189" s="100"/>
      <c r="AC189" s="71"/>
      <c r="AD189" s="39"/>
    </row>
    <row r="190" spans="1:30" ht="18.75" x14ac:dyDescent="0.25">
      <c r="A190" s="39"/>
      <c r="B190" s="39"/>
      <c r="C190" s="113">
        <f t="shared" ref="C190:C221" si="80">$I$12*10^-3</f>
        <v>-3.5000000000000001E-3</v>
      </c>
      <c r="D190" s="94">
        <f t="shared" si="76"/>
        <v>4.5899999999999989E-2</v>
      </c>
      <c r="E190" s="94">
        <f t="shared" si="77"/>
        <v>2.6056179775280877E-3</v>
      </c>
      <c r="F190" s="93" t="s">
        <v>107</v>
      </c>
      <c r="G190" s="95">
        <f t="shared" ref="G190:G221" si="81">(-$I$12*10^-3/(-$I$12*10^-3+D190))*$C$13</f>
        <v>25.222672064777335</v>
      </c>
      <c r="H190" s="115">
        <f t="shared" ref="H190:H221" si="82">$H$157</f>
        <v>47.033333333333289</v>
      </c>
      <c r="I190" s="115">
        <f t="shared" ref="I190:I221" si="83">$I$157</f>
        <v>96.141666666666509</v>
      </c>
      <c r="J190" s="115">
        <f t="shared" si="78"/>
        <v>0.80952380952380887</v>
      </c>
      <c r="K190" s="115">
        <f t="shared" si="79"/>
        <v>0.41596638655462226</v>
      </c>
      <c r="L190" s="96">
        <f t="shared" si="53"/>
        <v>491727.54577927204</v>
      </c>
      <c r="M190" s="116">
        <f t="shared" ref="M190:M221" si="84">-$I$16*$C$6*J190*$I$10*G190</f>
        <v>-201672.07827260447</v>
      </c>
      <c r="N190" s="96">
        <f t="shared" si="54"/>
        <v>491727.54577927204</v>
      </c>
      <c r="O190" s="96">
        <f t="shared" si="55"/>
        <v>781783.01328593958</v>
      </c>
      <c r="P190" s="116">
        <f t="shared" ref="P190:P221" si="85">-M190*($C$8/2-(K190*G190))-L190*($C$13/2)+N190*($C$13/2)</f>
        <v>38218515.819250688</v>
      </c>
      <c r="Q190" s="97">
        <f t="shared" si="56"/>
        <v>-0.2223367115765317</v>
      </c>
      <c r="R190" s="97">
        <f t="shared" si="57"/>
        <v>2.5951812429835509E-2</v>
      </c>
      <c r="S190" s="71">
        <f t="shared" si="58"/>
        <v>-2.5951812429835509E-2</v>
      </c>
      <c r="T190" s="98">
        <f t="shared" si="59"/>
        <v>48.886347195768685</v>
      </c>
      <c r="U190" s="134">
        <f t="shared" si="60"/>
        <v>0.13732119998811429</v>
      </c>
      <c r="V190" s="93" t="str">
        <f t="shared" si="61"/>
        <v>SI</v>
      </c>
      <c r="W190" s="95">
        <f t="shared" si="62"/>
        <v>-781.78301328593955</v>
      </c>
      <c r="X190" s="95">
        <f t="shared" si="63"/>
        <v>38.21851581925069</v>
      </c>
      <c r="Y190" s="95">
        <f t="shared" si="64"/>
        <v>-38.21851581925069</v>
      </c>
      <c r="Z190" s="95">
        <f t="shared" si="65"/>
        <v>983.45509155854404</v>
      </c>
      <c r="AA190" s="93" t="str">
        <f t="shared" si="66"/>
        <v/>
      </c>
      <c r="AB190" s="100"/>
      <c r="AC190" s="71"/>
      <c r="AD190" s="39"/>
    </row>
    <row r="191" spans="1:30" ht="18.75" x14ac:dyDescent="0.25">
      <c r="A191" s="39"/>
      <c r="B191" s="39"/>
      <c r="C191" s="113">
        <f t="shared" si="80"/>
        <v>-3.5000000000000001E-3</v>
      </c>
      <c r="D191" s="94">
        <f t="shared" ref="D191:D222" si="86">D190-($M$8*10^-3/100)</f>
        <v>4.5224999999999987E-2</v>
      </c>
      <c r="E191" s="94">
        <f t="shared" ref="E191:E222" si="87">($I$12*(G191-$C$10))/(G191*1000)</f>
        <v>2.522191011235954E-3</v>
      </c>
      <c r="F191" s="93" t="s">
        <v>107</v>
      </c>
      <c r="G191" s="95">
        <f t="shared" si="81"/>
        <v>25.572088250384816</v>
      </c>
      <c r="H191" s="115">
        <f t="shared" si="82"/>
        <v>47.033333333333289</v>
      </c>
      <c r="I191" s="115">
        <f t="shared" si="83"/>
        <v>96.141666666666509</v>
      </c>
      <c r="J191" s="115">
        <f t="shared" si="78"/>
        <v>0.80952380952380887</v>
      </c>
      <c r="K191" s="115">
        <f t="shared" si="79"/>
        <v>0.41596638655462226</v>
      </c>
      <c r="L191" s="96">
        <f t="shared" si="53"/>
        <v>491727.54577927204</v>
      </c>
      <c r="M191" s="116">
        <f t="shared" si="84"/>
        <v>-204465.89362066</v>
      </c>
      <c r="N191" s="96">
        <f t="shared" si="54"/>
        <v>491727.54577927204</v>
      </c>
      <c r="O191" s="96">
        <f t="shared" si="55"/>
        <v>778989.19793788414</v>
      </c>
      <c r="P191" s="116">
        <f t="shared" si="85"/>
        <v>38718248.607702293</v>
      </c>
      <c r="Q191" s="97">
        <f t="shared" si="56"/>
        <v>-0.22154215898753665</v>
      </c>
      <c r="R191" s="97">
        <f t="shared" si="57"/>
        <v>2.6291149824627855E-2</v>
      </c>
      <c r="S191" s="71">
        <f t="shared" si="58"/>
        <v>-2.6291149824627855E-2</v>
      </c>
      <c r="T191" s="98">
        <f t="shared" si="59"/>
        <v>49.703190634987017</v>
      </c>
      <c r="U191" s="99">
        <f t="shared" si="60"/>
        <v>0.1396157040308624</v>
      </c>
      <c r="V191" s="93" t="str">
        <f t="shared" si="61"/>
        <v>SI</v>
      </c>
      <c r="W191" s="95">
        <f t="shared" si="62"/>
        <v>-778.98919793788411</v>
      </c>
      <c r="X191" s="95">
        <f t="shared" si="63"/>
        <v>38.718248607702293</v>
      </c>
      <c r="Y191" s="95">
        <f t="shared" si="64"/>
        <v>-38.718248607702293</v>
      </c>
      <c r="Z191" s="95">
        <f t="shared" si="65"/>
        <v>983.45509155854404</v>
      </c>
      <c r="AA191" s="93" t="str">
        <f t="shared" si="66"/>
        <v/>
      </c>
      <c r="AB191" s="100"/>
      <c r="AC191" s="71"/>
      <c r="AD191" s="39"/>
    </row>
    <row r="192" spans="1:30" ht="18.75" x14ac:dyDescent="0.25">
      <c r="A192" s="39"/>
      <c r="B192" s="39"/>
      <c r="C192" s="113">
        <f t="shared" si="80"/>
        <v>-3.5000000000000001E-3</v>
      </c>
      <c r="D192" s="94">
        <f t="shared" si="86"/>
        <v>4.4549999999999985E-2</v>
      </c>
      <c r="E192" s="94">
        <f t="shared" si="87"/>
        <v>2.4387640449438186E-3</v>
      </c>
      <c r="F192" s="93" t="s">
        <v>107</v>
      </c>
      <c r="G192" s="95">
        <f t="shared" si="81"/>
        <v>25.931321540062441</v>
      </c>
      <c r="H192" s="115">
        <f t="shared" si="82"/>
        <v>47.033333333333289</v>
      </c>
      <c r="I192" s="115">
        <f t="shared" si="83"/>
        <v>96.141666666666509</v>
      </c>
      <c r="J192" s="115">
        <f t="shared" si="78"/>
        <v>0.80952380952380887</v>
      </c>
      <c r="K192" s="115">
        <f t="shared" si="79"/>
        <v>0.41596638655462226</v>
      </c>
      <c r="L192" s="96">
        <f t="shared" si="53"/>
        <v>491727.54577927204</v>
      </c>
      <c r="M192" s="116">
        <f t="shared" si="84"/>
        <v>-207338.20326049242</v>
      </c>
      <c r="N192" s="96">
        <f t="shared" si="54"/>
        <v>491727.54577927204</v>
      </c>
      <c r="O192" s="96">
        <f t="shared" si="55"/>
        <v>776116.88829805166</v>
      </c>
      <c r="P192" s="116">
        <f t="shared" si="85"/>
        <v>39231175.072214536</v>
      </c>
      <c r="Q192" s="97">
        <f t="shared" si="56"/>
        <v>-0.22072528286066134</v>
      </c>
      <c r="R192" s="97">
        <f t="shared" si="57"/>
        <v>2.6639446222642756E-2</v>
      </c>
      <c r="S192" s="71">
        <f t="shared" si="58"/>
        <v>-2.6639446222642756E-2</v>
      </c>
      <c r="T192" s="98">
        <f t="shared" si="59"/>
        <v>50.54802396871515</v>
      </c>
      <c r="U192" s="99">
        <f t="shared" si="60"/>
        <v>0.14198883137279536</v>
      </c>
      <c r="V192" s="93" t="str">
        <f t="shared" si="61"/>
        <v>SI</v>
      </c>
      <c r="W192" s="95">
        <f t="shared" si="62"/>
        <v>-776.11688829805166</v>
      </c>
      <c r="X192" s="95">
        <f t="shared" si="63"/>
        <v>39.231175072214533</v>
      </c>
      <c r="Y192" s="95">
        <f t="shared" si="64"/>
        <v>-39.231175072214533</v>
      </c>
      <c r="Z192" s="95">
        <f t="shared" si="65"/>
        <v>983.45509155854404</v>
      </c>
      <c r="AA192" s="93" t="str">
        <f t="shared" si="66"/>
        <v/>
      </c>
      <c r="AB192" s="100"/>
      <c r="AC192" s="71"/>
      <c r="AD192" s="39"/>
    </row>
    <row r="193" spans="1:30" ht="18.75" x14ac:dyDescent="0.25">
      <c r="A193" s="39"/>
      <c r="B193" s="39"/>
      <c r="C193" s="113">
        <f t="shared" si="80"/>
        <v>-3.5000000000000001E-3</v>
      </c>
      <c r="D193" s="94">
        <f t="shared" si="86"/>
        <v>4.3874999999999983E-2</v>
      </c>
      <c r="E193" s="94">
        <f t="shared" si="87"/>
        <v>2.3553370786516831E-3</v>
      </c>
      <c r="F193" s="93" t="s">
        <v>107</v>
      </c>
      <c r="G193" s="95">
        <f t="shared" si="81"/>
        <v>26.300791556728242</v>
      </c>
      <c r="H193" s="115">
        <f t="shared" si="82"/>
        <v>47.033333333333289</v>
      </c>
      <c r="I193" s="115">
        <f t="shared" si="83"/>
        <v>96.141666666666509</v>
      </c>
      <c r="J193" s="115">
        <f t="shared" si="78"/>
        <v>0.80952380952380887</v>
      </c>
      <c r="K193" s="115">
        <f t="shared" si="79"/>
        <v>0.41596638655462226</v>
      </c>
      <c r="L193" s="96">
        <f t="shared" si="53"/>
        <v>491727.54577927204</v>
      </c>
      <c r="M193" s="116">
        <f t="shared" si="84"/>
        <v>-210292.36235707992</v>
      </c>
      <c r="N193" s="96">
        <f t="shared" si="54"/>
        <v>491727.54577927204</v>
      </c>
      <c r="O193" s="96">
        <f t="shared" si="55"/>
        <v>773162.72920146422</v>
      </c>
      <c r="P193" s="116">
        <f t="shared" si="85"/>
        <v>39757822.457784779</v>
      </c>
      <c r="Q193" s="97">
        <f t="shared" si="56"/>
        <v>-0.21988512899718912</v>
      </c>
      <c r="R193" s="97">
        <f t="shared" si="57"/>
        <v>2.6997059643101586E-2</v>
      </c>
      <c r="S193" s="71">
        <f t="shared" si="58"/>
        <v>-2.6997059643101586E-2</v>
      </c>
      <c r="T193" s="98">
        <f t="shared" si="59"/>
        <v>51.422321532295463</v>
      </c>
      <c r="U193" s="99">
        <f t="shared" si="60"/>
        <v>0.14444472340532433</v>
      </c>
      <c r="V193" s="93" t="str">
        <f t="shared" si="61"/>
        <v>SI</v>
      </c>
      <c r="W193" s="95">
        <f t="shared" si="62"/>
        <v>-773.16272920146423</v>
      </c>
      <c r="X193" s="95">
        <f t="shared" si="63"/>
        <v>39.757822457784776</v>
      </c>
      <c r="Y193" s="95">
        <f t="shared" si="64"/>
        <v>-39.757822457784776</v>
      </c>
      <c r="Z193" s="95">
        <f t="shared" si="65"/>
        <v>983.45509155854404</v>
      </c>
      <c r="AA193" s="93" t="str">
        <f t="shared" si="66"/>
        <v/>
      </c>
      <c r="AB193" s="100"/>
      <c r="AC193" s="71"/>
      <c r="AD193" s="39"/>
    </row>
    <row r="194" spans="1:30" ht="18.75" x14ac:dyDescent="0.25">
      <c r="A194" s="39"/>
      <c r="B194" s="39"/>
      <c r="C194" s="113">
        <f t="shared" si="80"/>
        <v>-3.5000000000000001E-3</v>
      </c>
      <c r="D194" s="94">
        <f t="shared" si="86"/>
        <v>4.3199999999999981E-2</v>
      </c>
      <c r="E194" s="94">
        <f t="shared" si="87"/>
        <v>2.271910112359549E-3</v>
      </c>
      <c r="F194" s="93" t="s">
        <v>107</v>
      </c>
      <c r="G194" s="95">
        <f t="shared" si="81"/>
        <v>26.680942184154183</v>
      </c>
      <c r="H194" s="115">
        <f t="shared" si="82"/>
        <v>47.033333333333289</v>
      </c>
      <c r="I194" s="115">
        <f t="shared" si="83"/>
        <v>96.141666666666509</v>
      </c>
      <c r="J194" s="115">
        <f t="shared" si="78"/>
        <v>0.80952380952380887</v>
      </c>
      <c r="K194" s="115">
        <f t="shared" si="79"/>
        <v>0.41596638655462226</v>
      </c>
      <c r="L194" s="96">
        <f t="shared" si="53"/>
        <v>491727.54577927204</v>
      </c>
      <c r="M194" s="116">
        <f t="shared" si="84"/>
        <v>-213331.92005710193</v>
      </c>
      <c r="N194" s="96">
        <f t="shared" si="54"/>
        <v>491727.54577927204</v>
      </c>
      <c r="O194" s="96">
        <f t="shared" si="55"/>
        <v>770123.17150144209</v>
      </c>
      <c r="P194" s="116">
        <f t="shared" si="85"/>
        <v>40298746.339644179</v>
      </c>
      <c r="Q194" s="97">
        <f t="shared" si="56"/>
        <v>-0.21902068803059718</v>
      </c>
      <c r="R194" s="97">
        <f t="shared" si="57"/>
        <v>2.7364367342522053E-2</v>
      </c>
      <c r="S194" s="71">
        <f t="shared" si="58"/>
        <v>-2.7364367342522053E-2</v>
      </c>
      <c r="T194" s="98">
        <f t="shared" si="59"/>
        <v>52.32766371784038</v>
      </c>
      <c r="U194" s="99">
        <f t="shared" si="60"/>
        <v>0.1469878194321359</v>
      </c>
      <c r="V194" s="93" t="str">
        <f t="shared" si="61"/>
        <v>SI</v>
      </c>
      <c r="W194" s="95">
        <f t="shared" si="62"/>
        <v>-770.12317150144213</v>
      </c>
      <c r="X194" s="95">
        <f t="shared" si="63"/>
        <v>40.298746339644175</v>
      </c>
      <c r="Y194" s="95">
        <f t="shared" si="64"/>
        <v>-40.298746339644175</v>
      </c>
      <c r="Z194" s="95">
        <f t="shared" si="65"/>
        <v>983.45509155854404</v>
      </c>
      <c r="AA194" s="93" t="str">
        <f t="shared" si="66"/>
        <v/>
      </c>
      <c r="AB194" s="100"/>
      <c r="AC194" s="71"/>
      <c r="AD194" s="39"/>
    </row>
    <row r="195" spans="1:30" ht="18.75" x14ac:dyDescent="0.25">
      <c r="A195" s="39"/>
      <c r="B195" s="39"/>
      <c r="C195" s="113">
        <f t="shared" si="80"/>
        <v>-3.5000000000000001E-3</v>
      </c>
      <c r="D195" s="94">
        <f t="shared" si="86"/>
        <v>4.2524999999999979E-2</v>
      </c>
      <c r="E195" s="94">
        <f t="shared" si="87"/>
        <v>2.1884831460674136E-3</v>
      </c>
      <c r="F195" s="93" t="s">
        <v>107</v>
      </c>
      <c r="G195" s="95">
        <f t="shared" si="81"/>
        <v>27.072243346007614</v>
      </c>
      <c r="H195" s="115">
        <f t="shared" si="82"/>
        <v>47.033333333333289</v>
      </c>
      <c r="I195" s="115">
        <f t="shared" si="83"/>
        <v>96.141666666666509</v>
      </c>
      <c r="J195" s="115">
        <f t="shared" si="78"/>
        <v>0.80952380952380887</v>
      </c>
      <c r="K195" s="115">
        <f t="shared" si="79"/>
        <v>0.41596638655462226</v>
      </c>
      <c r="L195" s="96">
        <f t="shared" si="53"/>
        <v>491727.54577927204</v>
      </c>
      <c r="M195" s="116">
        <f t="shared" si="84"/>
        <v>-216460.63371356134</v>
      </c>
      <c r="N195" s="96">
        <f t="shared" si="54"/>
        <v>491727.54577927204</v>
      </c>
      <c r="O195" s="96">
        <f t="shared" si="55"/>
        <v>766994.45784498274</v>
      </c>
      <c r="P195" s="116">
        <f t="shared" si="85"/>
        <v>40854532.540520117</v>
      </c>
      <c r="Q195" s="97">
        <f t="shared" si="56"/>
        <v>-0.21813089138111777</v>
      </c>
      <c r="R195" s="97">
        <f t="shared" si="57"/>
        <v>2.7741767116611606E-2</v>
      </c>
      <c r="S195" s="71">
        <f t="shared" si="58"/>
        <v>-2.7741767116611606E-2</v>
      </c>
      <c r="T195" s="98">
        <f t="shared" si="59"/>
        <v>53.265746737347648</v>
      </c>
      <c r="U195" s="99">
        <f t="shared" si="60"/>
        <v>0.14962288409367316</v>
      </c>
      <c r="V195" s="93" t="str">
        <f t="shared" si="61"/>
        <v>SI</v>
      </c>
      <c r="W195" s="95">
        <f t="shared" si="62"/>
        <v>-766.99445784498278</v>
      </c>
      <c r="X195" s="95">
        <f t="shared" si="63"/>
        <v>40.854532540520118</v>
      </c>
      <c r="Y195" s="95">
        <f t="shared" si="64"/>
        <v>-40.854532540520118</v>
      </c>
      <c r="Z195" s="95">
        <f t="shared" si="65"/>
        <v>983.45509155854404</v>
      </c>
      <c r="AA195" s="93" t="str">
        <f t="shared" si="66"/>
        <v/>
      </c>
      <c r="AB195" s="100"/>
      <c r="AC195" s="71"/>
      <c r="AD195" s="39"/>
    </row>
    <row r="196" spans="1:30" ht="18.75" x14ac:dyDescent="0.25">
      <c r="A196" s="39"/>
      <c r="B196" s="39"/>
      <c r="C196" s="113">
        <f t="shared" si="80"/>
        <v>-3.5000000000000001E-3</v>
      </c>
      <c r="D196" s="94">
        <f t="shared" si="86"/>
        <v>4.1849999999999977E-2</v>
      </c>
      <c r="E196" s="94">
        <f t="shared" si="87"/>
        <v>2.105056179775279E-3</v>
      </c>
      <c r="F196" s="93" t="s">
        <v>107</v>
      </c>
      <c r="G196" s="95">
        <f t="shared" si="81"/>
        <v>27.475192943770683</v>
      </c>
      <c r="H196" s="115">
        <f t="shared" si="82"/>
        <v>47.033333333333289</v>
      </c>
      <c r="I196" s="115">
        <f t="shared" si="83"/>
        <v>96.141666666666509</v>
      </c>
      <c r="J196" s="115">
        <f t="shared" si="78"/>
        <v>0.80952380952380887</v>
      </c>
      <c r="K196" s="115">
        <f t="shared" si="79"/>
        <v>0.41596638655462226</v>
      </c>
      <c r="L196" s="96">
        <f t="shared" si="53"/>
        <v>491727.54577927204</v>
      </c>
      <c r="M196" s="116">
        <f t="shared" si="84"/>
        <v>-219682.48438074227</v>
      </c>
      <c r="N196" s="96">
        <f t="shared" si="54"/>
        <v>491727.54577927204</v>
      </c>
      <c r="O196" s="96">
        <f t="shared" si="55"/>
        <v>763772.6071778019</v>
      </c>
      <c r="P196" s="116">
        <f t="shared" si="85"/>
        <v>41425799.204602025</v>
      </c>
      <c r="Q196" s="97">
        <f t="shared" si="56"/>
        <v>-0.21721460684901878</v>
      </c>
      <c r="R196" s="97">
        <f t="shared" si="57"/>
        <v>2.81296787085684E-2</v>
      </c>
      <c r="S196" s="71">
        <f t="shared" si="58"/>
        <v>-2.81296787085684E-2</v>
      </c>
      <c r="T196" s="98">
        <f t="shared" si="59"/>
        <v>54.238393489488338</v>
      </c>
      <c r="U196" s="99">
        <f t="shared" si="60"/>
        <v>0.15235503789182117</v>
      </c>
      <c r="V196" s="93" t="str">
        <f t="shared" si="61"/>
        <v>SI</v>
      </c>
      <c r="W196" s="95">
        <f t="shared" si="62"/>
        <v>-763.77260717780189</v>
      </c>
      <c r="X196" s="95">
        <f t="shared" si="63"/>
        <v>41.425799204602022</v>
      </c>
      <c r="Y196" s="95">
        <f t="shared" si="64"/>
        <v>-41.425799204602022</v>
      </c>
      <c r="Z196" s="95">
        <f t="shared" si="65"/>
        <v>983.45509155854404</v>
      </c>
      <c r="AA196" s="93" t="str">
        <f t="shared" si="66"/>
        <v/>
      </c>
      <c r="AB196" s="100"/>
      <c r="AC196" s="71"/>
      <c r="AD196" s="39"/>
    </row>
    <row r="197" spans="1:30" ht="18.75" x14ac:dyDescent="0.25">
      <c r="A197" s="39"/>
      <c r="B197" s="39"/>
      <c r="C197" s="113">
        <f t="shared" si="80"/>
        <v>-3.5000000000000001E-3</v>
      </c>
      <c r="D197" s="94">
        <f t="shared" si="86"/>
        <v>4.1174999999999976E-2</v>
      </c>
      <c r="E197" s="94">
        <f t="shared" si="87"/>
        <v>2.0216292134831431E-3</v>
      </c>
      <c r="F197" s="93" t="s">
        <v>107</v>
      </c>
      <c r="G197" s="95">
        <f t="shared" si="81"/>
        <v>27.890318970341369</v>
      </c>
      <c r="H197" s="115">
        <f t="shared" si="82"/>
        <v>47.033333333333289</v>
      </c>
      <c r="I197" s="115">
        <f t="shared" si="83"/>
        <v>96.141666666666509</v>
      </c>
      <c r="J197" s="115">
        <f t="shared" si="78"/>
        <v>0.80952380952380887</v>
      </c>
      <c r="K197" s="115">
        <f t="shared" si="79"/>
        <v>0.41596638655462226</v>
      </c>
      <c r="L197" s="96">
        <f t="shared" si="53"/>
        <v>491727.54577927204</v>
      </c>
      <c r="M197" s="116">
        <f t="shared" si="84"/>
        <v>-223001.69371385928</v>
      </c>
      <c r="N197" s="96">
        <f t="shared" si="54"/>
        <v>491727.54577927204</v>
      </c>
      <c r="O197" s="96">
        <f t="shared" si="55"/>
        <v>760453.39784468478</v>
      </c>
      <c r="P197" s="116">
        <f t="shared" si="85"/>
        <v>42013199.043225698</v>
      </c>
      <c r="Q197" s="97">
        <f t="shared" si="56"/>
        <v>-0.2162706338083952</v>
      </c>
      <c r="R197" s="97">
        <f t="shared" si="57"/>
        <v>2.8528545333985571E-2</v>
      </c>
      <c r="S197" s="71">
        <f t="shared" si="58"/>
        <v>-2.8528545333985571E-2</v>
      </c>
      <c r="T197" s="98">
        <f t="shared" si="59"/>
        <v>55.247565678977331</v>
      </c>
      <c r="U197" s="99">
        <f t="shared" si="60"/>
        <v>0.15518979123308238</v>
      </c>
      <c r="V197" s="93" t="str">
        <f t="shared" si="61"/>
        <v>SI</v>
      </c>
      <c r="W197" s="95">
        <f t="shared" si="62"/>
        <v>-760.45339784468479</v>
      </c>
      <c r="X197" s="95">
        <f t="shared" si="63"/>
        <v>42.013199043225697</v>
      </c>
      <c r="Y197" s="95">
        <f t="shared" si="64"/>
        <v>-42.013199043225697</v>
      </c>
      <c r="Z197" s="95">
        <f t="shared" si="65"/>
        <v>983.45509155854404</v>
      </c>
      <c r="AA197" s="93" t="str">
        <f t="shared" si="66"/>
        <v/>
      </c>
      <c r="AB197" s="100"/>
      <c r="AC197" s="71"/>
      <c r="AD197" s="39"/>
    </row>
    <row r="198" spans="1:30" ht="18.75" x14ac:dyDescent="0.25">
      <c r="A198" s="39"/>
      <c r="B198" s="39"/>
      <c r="C198" s="113">
        <f t="shared" si="80"/>
        <v>-3.5000000000000001E-3</v>
      </c>
      <c r="D198" s="94">
        <f t="shared" si="86"/>
        <v>4.0499999999999974E-2</v>
      </c>
      <c r="E198" s="94">
        <f t="shared" si="87"/>
        <v>1.9382022471910083E-3</v>
      </c>
      <c r="F198" s="93" t="s">
        <v>107</v>
      </c>
      <c r="G198" s="95">
        <f t="shared" si="81"/>
        <v>28.318181818181834</v>
      </c>
      <c r="H198" s="115">
        <f t="shared" si="82"/>
        <v>47.033333333333289</v>
      </c>
      <c r="I198" s="115">
        <f t="shared" si="83"/>
        <v>96.141666666666509</v>
      </c>
      <c r="J198" s="115">
        <f t="shared" si="78"/>
        <v>0.80952380952380887</v>
      </c>
      <c r="K198" s="115">
        <f t="shared" si="79"/>
        <v>0.41596638655462226</v>
      </c>
      <c r="L198" s="96">
        <f t="shared" si="53"/>
        <v>491727.54577927204</v>
      </c>
      <c r="M198" s="116">
        <f t="shared" si="84"/>
        <v>-226422.74242424234</v>
      </c>
      <c r="N198" s="96">
        <f t="shared" si="54"/>
        <v>491727.54577927204</v>
      </c>
      <c r="O198" s="96">
        <f t="shared" si="55"/>
        <v>757032.34913430177</v>
      </c>
      <c r="P198" s="116">
        <f t="shared" si="85"/>
        <v>42617421.768939368</v>
      </c>
      <c r="Q198" s="97">
        <f t="shared" si="56"/>
        <v>-0.21529769795857073</v>
      </c>
      <c r="R198" s="97">
        <f t="shared" si="57"/>
        <v>2.8938835333673803E-2</v>
      </c>
      <c r="S198" s="71">
        <f t="shared" si="58"/>
        <v>-2.8938835333673803E-2</v>
      </c>
      <c r="T198" s="98">
        <f t="shared" si="59"/>
        <v>56.295377360920149</v>
      </c>
      <c r="U198" s="99">
        <f t="shared" si="60"/>
        <v>0.15813308247449481</v>
      </c>
      <c r="V198" s="93" t="str">
        <f t="shared" si="61"/>
        <v>SI</v>
      </c>
      <c r="W198" s="95">
        <f t="shared" si="62"/>
        <v>-757.03234913430174</v>
      </c>
      <c r="X198" s="95">
        <f t="shared" si="63"/>
        <v>42.617421768939366</v>
      </c>
      <c r="Y198" s="95">
        <f t="shared" si="64"/>
        <v>-42.617421768939366</v>
      </c>
      <c r="Z198" s="95">
        <f t="shared" si="65"/>
        <v>983.45509155854404</v>
      </c>
      <c r="AA198" s="93" t="str">
        <f t="shared" si="66"/>
        <v/>
      </c>
      <c r="AB198" s="100"/>
      <c r="AC198" s="71"/>
      <c r="AD198" s="39"/>
    </row>
    <row r="199" spans="1:30" ht="18.75" x14ac:dyDescent="0.25">
      <c r="A199" s="39"/>
      <c r="B199" s="39"/>
      <c r="C199" s="113">
        <f t="shared" si="80"/>
        <v>-3.5000000000000001E-3</v>
      </c>
      <c r="D199" s="94">
        <f t="shared" si="86"/>
        <v>3.9824999999999972E-2</v>
      </c>
      <c r="E199" s="94">
        <f t="shared" si="87"/>
        <v>1.8547752808988727E-3</v>
      </c>
      <c r="F199" s="93" t="s">
        <v>107</v>
      </c>
      <c r="G199" s="95">
        <f t="shared" si="81"/>
        <v>28.759376803231412</v>
      </c>
      <c r="H199" s="115">
        <f t="shared" si="82"/>
        <v>47.033333333333289</v>
      </c>
      <c r="I199" s="115">
        <f t="shared" si="83"/>
        <v>96.141666666666509</v>
      </c>
      <c r="J199" s="115">
        <f t="shared" si="78"/>
        <v>0.80952380952380887</v>
      </c>
      <c r="K199" s="115">
        <f t="shared" si="79"/>
        <v>0.41596638655462226</v>
      </c>
      <c r="L199" s="96">
        <f t="shared" si="53"/>
        <v>487724.11596174468</v>
      </c>
      <c r="M199" s="116">
        <f t="shared" si="84"/>
        <v>-229950.39045970375</v>
      </c>
      <c r="N199" s="96">
        <f t="shared" si="54"/>
        <v>491727.54577927204</v>
      </c>
      <c r="O199" s="96">
        <f t="shared" si="55"/>
        <v>749501.27128131292</v>
      </c>
      <c r="P199" s="116">
        <f t="shared" si="85"/>
        <v>43951807.243986666</v>
      </c>
      <c r="Q199" s="97">
        <f t="shared" si="56"/>
        <v>-0.21315588231918697</v>
      </c>
      <c r="R199" s="97">
        <f t="shared" si="57"/>
        <v>2.9844933354886898E-2</v>
      </c>
      <c r="S199" s="71">
        <f t="shared" si="58"/>
        <v>-2.9844933354886898E-2</v>
      </c>
      <c r="T199" s="98">
        <f t="shared" si="59"/>
        <v>58.641404528705706</v>
      </c>
      <c r="U199" s="99">
        <f t="shared" si="60"/>
        <v>0.16472304642894861</v>
      </c>
      <c r="V199" s="93" t="str">
        <f t="shared" si="61"/>
        <v>SI</v>
      </c>
      <c r="W199" s="95">
        <f t="shared" si="62"/>
        <v>-749.50127128131294</v>
      </c>
      <c r="X199" s="95">
        <f t="shared" si="63"/>
        <v>43.951807243986664</v>
      </c>
      <c r="Y199" s="95">
        <f t="shared" si="64"/>
        <v>-43.951807243986664</v>
      </c>
      <c r="Z199" s="95">
        <f t="shared" si="65"/>
        <v>979.45166174101666</v>
      </c>
      <c r="AA199" s="93" t="str">
        <f t="shared" si="66"/>
        <v/>
      </c>
      <c r="AB199" s="100"/>
      <c r="AC199" s="71"/>
      <c r="AD199" s="39"/>
    </row>
    <row r="200" spans="1:30" ht="18.75" x14ac:dyDescent="0.25">
      <c r="A200" s="39"/>
      <c r="B200" s="39"/>
      <c r="C200" s="113">
        <f t="shared" si="80"/>
        <v>-3.5000000000000001E-3</v>
      </c>
      <c r="D200" s="94">
        <f t="shared" si="86"/>
        <v>3.914999999999997E-2</v>
      </c>
      <c r="E200" s="94">
        <f t="shared" si="87"/>
        <v>1.7713483146067381E-3</v>
      </c>
      <c r="F200" s="93" t="s">
        <v>107</v>
      </c>
      <c r="G200" s="95">
        <f t="shared" si="81"/>
        <v>29.214536928487711</v>
      </c>
      <c r="H200" s="115">
        <f t="shared" si="82"/>
        <v>47.033333333333289</v>
      </c>
      <c r="I200" s="115">
        <f t="shared" si="83"/>
        <v>96.141666666666509</v>
      </c>
      <c r="J200" s="115">
        <f t="shared" si="78"/>
        <v>0.80952380952380887</v>
      </c>
      <c r="K200" s="115">
        <f t="shared" si="79"/>
        <v>0.41596638655462226</v>
      </c>
      <c r="L200" s="96">
        <f t="shared" si="53"/>
        <v>465786.50238600059</v>
      </c>
      <c r="M200" s="116">
        <f t="shared" si="84"/>
        <v>-233589.69910121136</v>
      </c>
      <c r="N200" s="96">
        <f t="shared" si="54"/>
        <v>491727.54577927204</v>
      </c>
      <c r="O200" s="96">
        <f t="shared" si="55"/>
        <v>723924.3490640613</v>
      </c>
      <c r="P200" s="116">
        <f t="shared" si="85"/>
        <v>48496801.535168298</v>
      </c>
      <c r="Q200" s="97">
        <f t="shared" si="56"/>
        <v>-0.20588188342001604</v>
      </c>
      <c r="R200" s="97">
        <f t="shared" si="57"/>
        <v>3.2931155747646775E-2</v>
      </c>
      <c r="S200" s="71">
        <f t="shared" si="58"/>
        <v>-3.2931155747646775E-2</v>
      </c>
      <c r="T200" s="98">
        <f t="shared" si="59"/>
        <v>66.991532468645744</v>
      </c>
      <c r="U200" s="99">
        <f t="shared" si="60"/>
        <v>0.18817846199057794</v>
      </c>
      <c r="V200" s="93" t="str">
        <f t="shared" si="61"/>
        <v>NO</v>
      </c>
      <c r="W200" s="95">
        <f t="shared" si="62"/>
        <v>-723.92434906406129</v>
      </c>
      <c r="X200" s="95">
        <f t="shared" si="63"/>
        <v>48.496801535168295</v>
      </c>
      <c r="Y200" s="95">
        <f t="shared" si="64"/>
        <v>-48.496801535168295</v>
      </c>
      <c r="Z200" s="95">
        <f t="shared" si="65"/>
        <v>957.5140481652727</v>
      </c>
      <c r="AA200" s="93" t="str">
        <f t="shared" si="66"/>
        <v/>
      </c>
      <c r="AB200" s="100"/>
      <c r="AC200" s="71"/>
      <c r="AD200" s="39"/>
    </row>
    <row r="201" spans="1:30" ht="18.75" x14ac:dyDescent="0.25">
      <c r="A201" s="39"/>
      <c r="B201" s="39"/>
      <c r="C201" s="113">
        <f t="shared" si="80"/>
        <v>-3.5000000000000001E-3</v>
      </c>
      <c r="D201" s="94">
        <f t="shared" si="86"/>
        <v>3.8474999999999968E-2</v>
      </c>
      <c r="E201" s="94">
        <f t="shared" si="87"/>
        <v>1.6879213483146026E-3</v>
      </c>
      <c r="F201" s="93" t="s">
        <v>107</v>
      </c>
      <c r="G201" s="95">
        <f t="shared" si="81"/>
        <v>29.684335914234687</v>
      </c>
      <c r="H201" s="115">
        <f t="shared" si="82"/>
        <v>47.033333333333289</v>
      </c>
      <c r="I201" s="115">
        <f t="shared" si="83"/>
        <v>96.141666666666509</v>
      </c>
      <c r="J201" s="115">
        <f t="shared" si="78"/>
        <v>0.80952380952380887</v>
      </c>
      <c r="K201" s="115">
        <f t="shared" si="79"/>
        <v>0.41596638655462226</v>
      </c>
      <c r="L201" s="96">
        <f t="shared" si="53"/>
        <v>443848.88881025626</v>
      </c>
      <c r="M201" s="116">
        <f t="shared" si="84"/>
        <v>-237346.05519158227</v>
      </c>
      <c r="N201" s="96">
        <f t="shared" si="54"/>
        <v>491727.54577927204</v>
      </c>
      <c r="O201" s="96">
        <f t="shared" si="55"/>
        <v>698230.37939794606</v>
      </c>
      <c r="P201" s="116">
        <f t="shared" si="85"/>
        <v>53060937.428413391</v>
      </c>
      <c r="Q201" s="97">
        <f t="shared" si="56"/>
        <v>-0.19857459658232954</v>
      </c>
      <c r="R201" s="97">
        <f t="shared" si="57"/>
        <v>3.6030376009520838E-2</v>
      </c>
      <c r="S201" s="71">
        <f t="shared" si="58"/>
        <v>-3.6030376009520838E-2</v>
      </c>
      <c r="T201" s="98">
        <f t="shared" si="59"/>
        <v>75.993452868902025</v>
      </c>
      <c r="U201" s="99">
        <f t="shared" si="60"/>
        <v>0.2134647552497248</v>
      </c>
      <c r="V201" s="93" t="str">
        <f t="shared" si="61"/>
        <v>NO</v>
      </c>
      <c r="W201" s="95">
        <f t="shared" si="62"/>
        <v>-698.23037939794608</v>
      </c>
      <c r="X201" s="95">
        <f t="shared" si="63"/>
        <v>53.060937428413389</v>
      </c>
      <c r="Y201" s="95">
        <f t="shared" si="64"/>
        <v>-53.060937428413389</v>
      </c>
      <c r="Z201" s="95">
        <f t="shared" si="65"/>
        <v>935.57643458952828</v>
      </c>
      <c r="AA201" s="93" t="str">
        <f t="shared" si="66"/>
        <v/>
      </c>
      <c r="AB201" s="100"/>
      <c r="AC201" s="71"/>
      <c r="AD201" s="39"/>
    </row>
    <row r="202" spans="1:30" ht="18.75" x14ac:dyDescent="0.25">
      <c r="A202" s="39"/>
      <c r="B202" s="39"/>
      <c r="C202" s="113">
        <f t="shared" si="80"/>
        <v>-3.5000000000000001E-3</v>
      </c>
      <c r="D202" s="94">
        <f t="shared" si="86"/>
        <v>3.7799999999999966E-2</v>
      </c>
      <c r="E202" s="94">
        <f t="shared" si="87"/>
        <v>1.6044943820224681E-3</v>
      </c>
      <c r="F202" s="93" t="s">
        <v>107</v>
      </c>
      <c r="G202" s="95">
        <f t="shared" si="81"/>
        <v>30.169491525423751</v>
      </c>
      <c r="H202" s="115">
        <f t="shared" si="82"/>
        <v>47.033333333333289</v>
      </c>
      <c r="I202" s="115">
        <f t="shared" si="83"/>
        <v>96.141666666666509</v>
      </c>
      <c r="J202" s="115">
        <f t="shared" si="78"/>
        <v>0.80952380952380887</v>
      </c>
      <c r="K202" s="115">
        <f t="shared" si="79"/>
        <v>0.41596638655462226</v>
      </c>
      <c r="L202" s="96">
        <f t="shared" si="53"/>
        <v>421911.27523451229</v>
      </c>
      <c r="M202" s="116">
        <f t="shared" si="84"/>
        <v>-241225.19774011296</v>
      </c>
      <c r="N202" s="96">
        <f t="shared" si="54"/>
        <v>491727.54577927204</v>
      </c>
      <c r="O202" s="96">
        <f t="shared" si="55"/>
        <v>672413.62327367137</v>
      </c>
      <c r="P202" s="116">
        <f t="shared" si="85"/>
        <v>57645081.443078227</v>
      </c>
      <c r="Q202" s="97">
        <f t="shared" si="56"/>
        <v>-0.19123238964933612</v>
      </c>
      <c r="R202" s="97">
        <f t="shared" si="57"/>
        <v>3.9143182539805081E-2</v>
      </c>
      <c r="S202" s="71">
        <f t="shared" si="58"/>
        <v>-3.9143182539805081E-2</v>
      </c>
      <c r="T202" s="98">
        <f t="shared" si="59"/>
        <v>85.728604311184156</v>
      </c>
      <c r="U202" s="99">
        <f t="shared" si="60"/>
        <v>0.24081068626737123</v>
      </c>
      <c r="V202" s="93" t="str">
        <f t="shared" si="61"/>
        <v>NO</v>
      </c>
      <c r="W202" s="95">
        <f t="shared" si="62"/>
        <v>-672.41362327367142</v>
      </c>
      <c r="X202" s="95">
        <f t="shared" si="63"/>
        <v>57.645081443078226</v>
      </c>
      <c r="Y202" s="95">
        <f t="shared" si="64"/>
        <v>-57.645081443078226</v>
      </c>
      <c r="Z202" s="95">
        <f t="shared" si="65"/>
        <v>913.63882101378431</v>
      </c>
      <c r="AA202" s="93" t="str">
        <f t="shared" si="66"/>
        <v/>
      </c>
      <c r="AB202" s="100"/>
      <c r="AC202" s="71"/>
      <c r="AD202" s="39"/>
    </row>
    <row r="203" spans="1:30" ht="18.75" x14ac:dyDescent="0.25">
      <c r="A203" s="39"/>
      <c r="B203" s="39"/>
      <c r="C203" s="113">
        <f t="shared" si="80"/>
        <v>-3.5000000000000001E-3</v>
      </c>
      <c r="D203" s="94">
        <f t="shared" si="86"/>
        <v>3.7124999999999964E-2</v>
      </c>
      <c r="E203" s="94">
        <f t="shared" si="87"/>
        <v>1.5210674157303335E-3</v>
      </c>
      <c r="F203" s="93" t="s">
        <v>107</v>
      </c>
      <c r="G203" s="95">
        <f t="shared" si="81"/>
        <v>30.670769230769253</v>
      </c>
      <c r="H203" s="115">
        <f t="shared" si="82"/>
        <v>47.033333333333289</v>
      </c>
      <c r="I203" s="115">
        <f t="shared" si="83"/>
        <v>96.141666666666509</v>
      </c>
      <c r="J203" s="115">
        <f t="shared" si="78"/>
        <v>0.80952380952380887</v>
      </c>
      <c r="K203" s="115">
        <f t="shared" si="79"/>
        <v>0.41596638655462226</v>
      </c>
      <c r="L203" s="96">
        <f t="shared" si="53"/>
        <v>399973.66165876819</v>
      </c>
      <c r="M203" s="116">
        <f t="shared" si="84"/>
        <v>-245233.24717948714</v>
      </c>
      <c r="N203" s="96">
        <f t="shared" si="54"/>
        <v>491727.54577927204</v>
      </c>
      <c r="O203" s="96">
        <f t="shared" si="55"/>
        <v>646467.96025855304</v>
      </c>
      <c r="P203" s="116">
        <f t="shared" si="85"/>
        <v>62250152.822525814</v>
      </c>
      <c r="Q203" s="97">
        <f t="shared" si="56"/>
        <v>-0.18385352198859259</v>
      </c>
      <c r="R203" s="97">
        <f t="shared" si="57"/>
        <v>4.2270199539382818E-2</v>
      </c>
      <c r="S203" s="71">
        <f t="shared" si="58"/>
        <v>-4.2270199539382818E-2</v>
      </c>
      <c r="T203" s="98">
        <f t="shared" si="59"/>
        <v>96.292711548502794</v>
      </c>
      <c r="U203" s="99">
        <f t="shared" si="60"/>
        <v>0.27048514479916513</v>
      </c>
      <c r="V203" s="93" t="str">
        <f t="shared" si="61"/>
        <v>NO</v>
      </c>
      <c r="W203" s="95">
        <f t="shared" si="62"/>
        <v>-646.46796025855303</v>
      </c>
      <c r="X203" s="95">
        <f t="shared" si="63"/>
        <v>62.250152822525813</v>
      </c>
      <c r="Y203" s="95">
        <f t="shared" si="64"/>
        <v>-62.250152822525813</v>
      </c>
      <c r="Z203" s="95">
        <f t="shared" si="65"/>
        <v>891.70120743804034</v>
      </c>
      <c r="AA203" s="93" t="str">
        <f t="shared" si="66"/>
        <v/>
      </c>
      <c r="AB203" s="100"/>
      <c r="AC203" s="71"/>
      <c r="AD203" s="39"/>
    </row>
    <row r="204" spans="1:30" ht="18.75" x14ac:dyDescent="0.25">
      <c r="A204" s="39"/>
      <c r="B204" s="39"/>
      <c r="C204" s="113">
        <f t="shared" si="80"/>
        <v>-3.5000000000000001E-3</v>
      </c>
      <c r="D204" s="94">
        <f t="shared" si="86"/>
        <v>3.6449999999999962E-2</v>
      </c>
      <c r="E204" s="94">
        <f t="shared" si="87"/>
        <v>1.437640449438198E-3</v>
      </c>
      <c r="F204" s="93" t="s">
        <v>107</v>
      </c>
      <c r="G204" s="95">
        <f t="shared" si="81"/>
        <v>31.188986232791017</v>
      </c>
      <c r="H204" s="115">
        <f t="shared" si="82"/>
        <v>47.033333333333289</v>
      </c>
      <c r="I204" s="115">
        <f t="shared" si="83"/>
        <v>96.141666666666509</v>
      </c>
      <c r="J204" s="115">
        <f t="shared" si="78"/>
        <v>0.80952380952380887</v>
      </c>
      <c r="K204" s="115">
        <f t="shared" si="79"/>
        <v>0.41596638655462226</v>
      </c>
      <c r="L204" s="96">
        <f t="shared" si="53"/>
        <v>378036.04808302387</v>
      </c>
      <c r="M204" s="116">
        <f t="shared" si="84"/>
        <v>-249376.7375886525</v>
      </c>
      <c r="N204" s="96">
        <f t="shared" si="54"/>
        <v>491727.54577927204</v>
      </c>
      <c r="O204" s="96">
        <f t="shared" si="55"/>
        <v>620386.85627364344</v>
      </c>
      <c r="P204" s="116">
        <f t="shared" si="85"/>
        <v>66877127.57023558</v>
      </c>
      <c r="Q204" s="97">
        <f t="shared" si="56"/>
        <v>-0.17643613532791638</v>
      </c>
      <c r="R204" s="97">
        <f t="shared" si="57"/>
        <v>4.5412089751395338E-2</v>
      </c>
      <c r="S204" s="71">
        <f t="shared" si="58"/>
        <v>-4.5412089751395338E-2</v>
      </c>
      <c r="T204" s="98">
        <f t="shared" si="59"/>
        <v>107.79907229487962</v>
      </c>
      <c r="U204" s="99">
        <f t="shared" si="60"/>
        <v>0.30280638285078543</v>
      </c>
      <c r="V204" s="93" t="str">
        <f t="shared" si="61"/>
        <v>NO</v>
      </c>
      <c r="W204" s="95">
        <f t="shared" si="62"/>
        <v>-620.38685627364339</v>
      </c>
      <c r="X204" s="95">
        <f t="shared" si="63"/>
        <v>66.877127570235587</v>
      </c>
      <c r="Y204" s="95">
        <f t="shared" si="64"/>
        <v>-66.877127570235587</v>
      </c>
      <c r="Z204" s="95">
        <f t="shared" si="65"/>
        <v>869.76359386229581</v>
      </c>
      <c r="AA204" s="93" t="str">
        <f t="shared" si="66"/>
        <v/>
      </c>
      <c r="AB204" s="100"/>
      <c r="AC204" s="71"/>
      <c r="AD204" s="39"/>
    </row>
    <row r="205" spans="1:30" ht="18.75" x14ac:dyDescent="0.25">
      <c r="A205" s="39"/>
      <c r="B205" s="39"/>
      <c r="C205" s="113">
        <f t="shared" si="80"/>
        <v>-3.5000000000000001E-3</v>
      </c>
      <c r="D205" s="94">
        <f t="shared" si="86"/>
        <v>3.577499999999996E-2</v>
      </c>
      <c r="E205" s="94">
        <f t="shared" si="87"/>
        <v>1.3542134831460628E-3</v>
      </c>
      <c r="F205" s="93" t="s">
        <v>107</v>
      </c>
      <c r="G205" s="95">
        <f t="shared" si="81"/>
        <v>31.725015913430965</v>
      </c>
      <c r="H205" s="115">
        <f t="shared" si="82"/>
        <v>47.033333333333289</v>
      </c>
      <c r="I205" s="115">
        <f t="shared" si="83"/>
        <v>96.141666666666509</v>
      </c>
      <c r="J205" s="115">
        <f t="shared" si="78"/>
        <v>0.80952380952380887</v>
      </c>
      <c r="K205" s="115">
        <f t="shared" si="79"/>
        <v>0.41596638655462226</v>
      </c>
      <c r="L205" s="96">
        <f t="shared" si="53"/>
        <v>356098.43450727972</v>
      </c>
      <c r="M205" s="116">
        <f t="shared" si="84"/>
        <v>-253662.6522384893</v>
      </c>
      <c r="N205" s="96">
        <f t="shared" si="54"/>
        <v>491727.54577927204</v>
      </c>
      <c r="O205" s="96">
        <f t="shared" si="55"/>
        <v>594163.32804806251</v>
      </c>
      <c r="P205" s="116">
        <f t="shared" si="85"/>
        <v>71527042.858263731</v>
      </c>
      <c r="Q205" s="97">
        <f t="shared" si="56"/>
        <v>-0.16897824364630534</v>
      </c>
      <c r="R205" s="97">
        <f t="shared" si="57"/>
        <v>4.8569557454752554E-2</v>
      </c>
      <c r="S205" s="71">
        <f t="shared" si="58"/>
        <v>-4.8569557454752554E-2</v>
      </c>
      <c r="T205" s="98">
        <f t="shared" si="59"/>
        <v>120.38279624769746</v>
      </c>
      <c r="U205" s="99">
        <f t="shared" si="60"/>
        <v>0.338153922044094</v>
      </c>
      <c r="V205" s="93" t="str">
        <f t="shared" si="61"/>
        <v>NO</v>
      </c>
      <c r="W205" s="95">
        <f t="shared" si="62"/>
        <v>-594.16332804806257</v>
      </c>
      <c r="X205" s="95">
        <f t="shared" si="63"/>
        <v>71.527042858263727</v>
      </c>
      <c r="Y205" s="95">
        <f t="shared" si="64"/>
        <v>-71.527042858263727</v>
      </c>
      <c r="Z205" s="95">
        <f t="shared" si="65"/>
        <v>847.82598028655173</v>
      </c>
      <c r="AA205" s="93" t="str">
        <f t="shared" si="66"/>
        <v/>
      </c>
      <c r="AB205" s="100"/>
      <c r="AC205" s="71"/>
      <c r="AD205" s="39"/>
    </row>
    <row r="206" spans="1:30" ht="18.75" x14ac:dyDescent="0.25">
      <c r="A206" s="39"/>
      <c r="B206" s="39"/>
      <c r="C206" s="113">
        <f t="shared" si="80"/>
        <v>-3.5000000000000001E-3</v>
      </c>
      <c r="D206" s="94">
        <f t="shared" si="86"/>
        <v>3.5099999999999958E-2</v>
      </c>
      <c r="E206" s="94">
        <f t="shared" si="87"/>
        <v>1.2707865168539272E-3</v>
      </c>
      <c r="F206" s="93" t="s">
        <v>107</v>
      </c>
      <c r="G206" s="95">
        <f t="shared" si="81"/>
        <v>32.279792746114026</v>
      </c>
      <c r="H206" s="115">
        <f t="shared" si="82"/>
        <v>47.033333333333289</v>
      </c>
      <c r="I206" s="115">
        <f t="shared" si="83"/>
        <v>96.141666666666509</v>
      </c>
      <c r="J206" s="115">
        <f t="shared" si="78"/>
        <v>0.80952380952380887</v>
      </c>
      <c r="K206" s="115">
        <f t="shared" si="79"/>
        <v>0.41596638655462226</v>
      </c>
      <c r="L206" s="96">
        <f t="shared" si="53"/>
        <v>334160.82093153533</v>
      </c>
      <c r="M206" s="116">
        <f t="shared" si="84"/>
        <v>-258098.46286701216</v>
      </c>
      <c r="N206" s="96">
        <f t="shared" si="54"/>
        <v>491727.54577927204</v>
      </c>
      <c r="O206" s="96">
        <f t="shared" si="55"/>
        <v>567789.90384379518</v>
      </c>
      <c r="P206" s="116">
        <f t="shared" si="85"/>
        <v>76201001.848172098</v>
      </c>
      <c r="Q206" s="97">
        <f t="shared" si="56"/>
        <v>-0.16147772200418953</v>
      </c>
      <c r="R206" s="97">
        <f t="shared" si="57"/>
        <v>5.1743351737725408E-2</v>
      </c>
      <c r="S206" s="71">
        <f t="shared" si="58"/>
        <v>-5.1743351737725408E-2</v>
      </c>
      <c r="T206" s="98">
        <f t="shared" si="59"/>
        <v>134.20633465355837</v>
      </c>
      <c r="U206" s="99">
        <f t="shared" si="60"/>
        <v>0.37698408610550105</v>
      </c>
      <c r="V206" s="93" t="str">
        <f t="shared" si="61"/>
        <v>NO</v>
      </c>
      <c r="W206" s="95">
        <f t="shared" si="62"/>
        <v>-567.78990384379517</v>
      </c>
      <c r="X206" s="95">
        <f t="shared" si="63"/>
        <v>76.201001848172098</v>
      </c>
      <c r="Y206" s="95">
        <f t="shared" si="64"/>
        <v>-76.201001848172098</v>
      </c>
      <c r="Z206" s="95">
        <f t="shared" si="65"/>
        <v>825.88836671080742</v>
      </c>
      <c r="AA206" s="93" t="str">
        <f t="shared" si="66"/>
        <v/>
      </c>
      <c r="AB206" s="100"/>
      <c r="AC206" s="71"/>
      <c r="AD206" s="39"/>
    </row>
    <row r="207" spans="1:30" ht="18.75" x14ac:dyDescent="0.25">
      <c r="A207" s="39"/>
      <c r="B207" s="39"/>
      <c r="C207" s="113">
        <f t="shared" si="80"/>
        <v>-3.5000000000000001E-3</v>
      </c>
      <c r="D207" s="94">
        <f t="shared" si="86"/>
        <v>3.4424999999999956E-2</v>
      </c>
      <c r="E207" s="94">
        <f t="shared" si="87"/>
        <v>1.1873595505617932E-3</v>
      </c>
      <c r="F207" s="93" t="s">
        <v>107</v>
      </c>
      <c r="G207" s="95">
        <f t="shared" si="81"/>
        <v>32.854317732366546</v>
      </c>
      <c r="H207" s="115">
        <f t="shared" si="82"/>
        <v>47.033333333333289</v>
      </c>
      <c r="I207" s="115">
        <f t="shared" si="83"/>
        <v>96.141666666666509</v>
      </c>
      <c r="J207" s="115">
        <f t="shared" si="78"/>
        <v>0.80952380952380887</v>
      </c>
      <c r="K207" s="115">
        <f t="shared" si="79"/>
        <v>0.41596638655462226</v>
      </c>
      <c r="L207" s="96">
        <f t="shared" si="53"/>
        <v>312223.20735579147</v>
      </c>
      <c r="M207" s="116">
        <f t="shared" si="84"/>
        <v>-262692.17314875853</v>
      </c>
      <c r="N207" s="96">
        <f t="shared" si="54"/>
        <v>491727.54577927204</v>
      </c>
      <c r="O207" s="96">
        <f t="shared" si="55"/>
        <v>541258.57998630498</v>
      </c>
      <c r="P207" s="116">
        <f t="shared" si="85"/>
        <v>80900178.969462842</v>
      </c>
      <c r="Q207" s="97">
        <f t="shared" si="56"/>
        <v>-0.15393229418086993</v>
      </c>
      <c r="R207" s="97">
        <f t="shared" si="57"/>
        <v>5.4934270082201891E-2</v>
      </c>
      <c r="S207" s="71">
        <f t="shared" si="58"/>
        <v>-5.4934270082201891E-2</v>
      </c>
      <c r="T207" s="98">
        <f t="shared" si="59"/>
        <v>149.46678345775101</v>
      </c>
      <c r="U207" s="99">
        <f t="shared" si="60"/>
        <v>0.41985051533076123</v>
      </c>
      <c r="V207" s="93" t="str">
        <f t="shared" si="61"/>
        <v>NO</v>
      </c>
      <c r="W207" s="95">
        <f t="shared" si="62"/>
        <v>-541.25857998630499</v>
      </c>
      <c r="X207" s="95">
        <f t="shared" si="63"/>
        <v>80.900178969462843</v>
      </c>
      <c r="Y207" s="95">
        <f t="shared" si="64"/>
        <v>-80.900178969462843</v>
      </c>
      <c r="Z207" s="95">
        <f t="shared" si="65"/>
        <v>803.95075313506345</v>
      </c>
      <c r="AA207" s="93" t="str">
        <f t="shared" si="66"/>
        <v/>
      </c>
      <c r="AB207" s="100"/>
      <c r="AC207" s="71"/>
      <c r="AD207" s="39"/>
    </row>
    <row r="208" spans="1:30" ht="18.75" x14ac:dyDescent="0.25">
      <c r="A208" s="39"/>
      <c r="B208" s="39"/>
      <c r="C208" s="113">
        <f t="shared" si="80"/>
        <v>-3.5000000000000001E-3</v>
      </c>
      <c r="D208" s="94">
        <f t="shared" si="86"/>
        <v>3.3749999999999954E-2</v>
      </c>
      <c r="E208" s="94">
        <f t="shared" si="87"/>
        <v>1.1039325842696569E-3</v>
      </c>
      <c r="F208" s="93" t="s">
        <v>107</v>
      </c>
      <c r="G208" s="95">
        <f t="shared" si="81"/>
        <v>33.449664429530245</v>
      </c>
      <c r="H208" s="115">
        <f t="shared" si="82"/>
        <v>47.033333333333289</v>
      </c>
      <c r="I208" s="115">
        <f t="shared" si="83"/>
        <v>96.141666666666509</v>
      </c>
      <c r="J208" s="115">
        <f t="shared" si="78"/>
        <v>0.80952380952380887</v>
      </c>
      <c r="K208" s="115">
        <f t="shared" si="79"/>
        <v>0.41596638655462226</v>
      </c>
      <c r="L208" s="96">
        <f t="shared" si="53"/>
        <v>290285.59378004691</v>
      </c>
      <c r="M208" s="116">
        <f t="shared" si="84"/>
        <v>-267452.36689038045</v>
      </c>
      <c r="N208" s="96">
        <f t="shared" si="54"/>
        <v>491727.54577927204</v>
      </c>
      <c r="O208" s="96">
        <f t="shared" si="55"/>
        <v>514560.7726689385</v>
      </c>
      <c r="P208" s="116">
        <f t="shared" si="85"/>
        <v>85625825.706151128</v>
      </c>
      <c r="Q208" s="97">
        <f t="shared" si="56"/>
        <v>-0.1463395189678377</v>
      </c>
      <c r="R208" s="97">
        <f t="shared" si="57"/>
        <v>5.8143162292987986E-2</v>
      </c>
      <c r="S208" s="71">
        <f t="shared" si="58"/>
        <v>-5.8143162292987986E-2</v>
      </c>
      <c r="T208" s="98">
        <f t="shared" si="59"/>
        <v>166.40566139938079</v>
      </c>
      <c r="U208" s="99">
        <f t="shared" si="60"/>
        <v>0.46743163314432806</v>
      </c>
      <c r="V208" s="93" t="str">
        <f t="shared" si="61"/>
        <v>NO</v>
      </c>
      <c r="W208" s="95">
        <f t="shared" si="62"/>
        <v>-514.56077266893851</v>
      </c>
      <c r="X208" s="95">
        <f t="shared" si="63"/>
        <v>85.625825706151133</v>
      </c>
      <c r="Y208" s="95">
        <f t="shared" si="64"/>
        <v>-85.625825706151133</v>
      </c>
      <c r="Z208" s="95">
        <f t="shared" si="65"/>
        <v>782.01313955931903</v>
      </c>
      <c r="AA208" s="93" t="str">
        <f t="shared" si="66"/>
        <v/>
      </c>
      <c r="AB208" s="100"/>
      <c r="AC208" s="71"/>
      <c r="AD208" s="39"/>
    </row>
    <row r="209" spans="1:30" ht="18.75" x14ac:dyDescent="0.25">
      <c r="A209" s="39"/>
      <c r="B209" s="39"/>
      <c r="C209" s="113">
        <f t="shared" si="80"/>
        <v>-3.5000000000000001E-3</v>
      </c>
      <c r="D209" s="94">
        <f t="shared" si="86"/>
        <v>3.3074999999999952E-2</v>
      </c>
      <c r="E209" s="94">
        <f t="shared" si="87"/>
        <v>1.0205056179775221E-3</v>
      </c>
      <c r="F209" s="93" t="s">
        <v>107</v>
      </c>
      <c r="G209" s="95">
        <f t="shared" si="81"/>
        <v>34.066985645933059</v>
      </c>
      <c r="H209" s="115">
        <f t="shared" si="82"/>
        <v>47.033333333333289</v>
      </c>
      <c r="I209" s="115">
        <f t="shared" si="83"/>
        <v>96.141666666666509</v>
      </c>
      <c r="J209" s="115">
        <f t="shared" si="78"/>
        <v>0.80952380952380887</v>
      </c>
      <c r="K209" s="115">
        <f t="shared" si="79"/>
        <v>0.41596638655462226</v>
      </c>
      <c r="L209" s="96">
        <f t="shared" si="53"/>
        <v>268347.98020430282</v>
      </c>
      <c r="M209" s="116">
        <f t="shared" si="84"/>
        <v>-272388.26156299852</v>
      </c>
      <c r="N209" s="96">
        <f t="shared" si="54"/>
        <v>491727.54577927204</v>
      </c>
      <c r="O209" s="96">
        <f t="shared" si="55"/>
        <v>487687.26442057634</v>
      </c>
      <c r="P209" s="116">
        <f t="shared" si="85"/>
        <v>90379276.948465466</v>
      </c>
      <c r="Q209" s="97">
        <f t="shared" si="56"/>
        <v>-0.1386967749443368</v>
      </c>
      <c r="R209" s="97">
        <f t="shared" si="57"/>
        <v>6.1370934810851527E-2</v>
      </c>
      <c r="S209" s="71">
        <f t="shared" si="58"/>
        <v>-6.1370934810851527E-2</v>
      </c>
      <c r="T209" s="98">
        <f t="shared" si="59"/>
        <v>185.32220039792415</v>
      </c>
      <c r="U209" s="99">
        <f t="shared" si="60"/>
        <v>0.52056797864585436</v>
      </c>
      <c r="V209" s="93" t="str">
        <f t="shared" si="61"/>
        <v>NO</v>
      </c>
      <c r="W209" s="95">
        <f t="shared" si="62"/>
        <v>-487.68726442057635</v>
      </c>
      <c r="X209" s="95">
        <f t="shared" si="63"/>
        <v>90.37927694846546</v>
      </c>
      <c r="Y209" s="95">
        <f t="shared" si="64"/>
        <v>-90.37927694846546</v>
      </c>
      <c r="Z209" s="95">
        <f t="shared" si="65"/>
        <v>760.07552598357483</v>
      </c>
      <c r="AA209" s="93" t="str">
        <f t="shared" si="66"/>
        <v/>
      </c>
      <c r="AB209" s="100"/>
      <c r="AC209" s="71"/>
      <c r="AD209" s="39"/>
    </row>
    <row r="210" spans="1:30" ht="18.75" x14ac:dyDescent="0.25">
      <c r="A210" s="39"/>
      <c r="B210" s="39"/>
      <c r="C210" s="113">
        <f t="shared" si="80"/>
        <v>-3.5000000000000001E-3</v>
      </c>
      <c r="D210" s="94">
        <f t="shared" si="86"/>
        <v>3.239999999999995E-2</v>
      </c>
      <c r="E210" s="94">
        <f t="shared" si="87"/>
        <v>9.3707865168538799E-4</v>
      </c>
      <c r="F210" s="93" t="s">
        <v>107</v>
      </c>
      <c r="G210" s="95">
        <f t="shared" si="81"/>
        <v>34.707520891364943</v>
      </c>
      <c r="H210" s="115">
        <f t="shared" si="82"/>
        <v>47.033333333333289</v>
      </c>
      <c r="I210" s="115">
        <f t="shared" si="83"/>
        <v>96.141666666666509</v>
      </c>
      <c r="J210" s="115">
        <f t="shared" si="78"/>
        <v>0.80952380952380887</v>
      </c>
      <c r="K210" s="115">
        <f t="shared" si="79"/>
        <v>0.41596638655462226</v>
      </c>
      <c r="L210" s="96">
        <f t="shared" si="53"/>
        <v>246410.3666285589</v>
      </c>
      <c r="M210" s="116">
        <f t="shared" si="84"/>
        <v>-277509.76787372341</v>
      </c>
      <c r="N210" s="96">
        <f t="shared" si="54"/>
        <v>491727.54577927204</v>
      </c>
      <c r="O210" s="96">
        <f t="shared" si="55"/>
        <v>460628.14453410753</v>
      </c>
      <c r="P210" s="116">
        <f t="shared" si="85"/>
        <v>95161957.973918378</v>
      </c>
      <c r="Q210" s="97">
        <f t="shared" si="56"/>
        <v>-0.13100124353540332</v>
      </c>
      <c r="R210" s="97">
        <f t="shared" si="57"/>
        <v>6.4618555452932255E-2</v>
      </c>
      <c r="S210" s="71">
        <f t="shared" si="58"/>
        <v>-6.4618555452932255E-2</v>
      </c>
      <c r="T210" s="98">
        <f t="shared" si="59"/>
        <v>206.59171416928487</v>
      </c>
      <c r="U210" s="99">
        <f t="shared" si="60"/>
        <v>0.58031380384630582</v>
      </c>
      <c r="V210" s="93" t="str">
        <f t="shared" si="61"/>
        <v>NO</v>
      </c>
      <c r="W210" s="95">
        <f t="shared" si="62"/>
        <v>-460.62814453410755</v>
      </c>
      <c r="X210" s="95">
        <f t="shared" si="63"/>
        <v>95.161957973918376</v>
      </c>
      <c r="Y210" s="95">
        <f t="shared" si="64"/>
        <v>-95.161957973918376</v>
      </c>
      <c r="Z210" s="95">
        <f t="shared" si="65"/>
        <v>738.13791240783098</v>
      </c>
      <c r="AA210" s="93" t="str">
        <f t="shared" si="66"/>
        <v/>
      </c>
      <c r="AB210" s="100"/>
      <c r="AC210" s="71"/>
      <c r="AD210" s="39"/>
    </row>
    <row r="211" spans="1:30" ht="18.75" x14ac:dyDescent="0.25">
      <c r="A211" s="39"/>
      <c r="B211" s="39"/>
      <c r="C211" s="113">
        <f t="shared" si="80"/>
        <v>-3.5000000000000001E-3</v>
      </c>
      <c r="D211" s="94">
        <f t="shared" si="86"/>
        <v>3.1724999999999948E-2</v>
      </c>
      <c r="E211" s="94">
        <f t="shared" si="87"/>
        <v>8.5365168539325189E-4</v>
      </c>
      <c r="F211" s="93" t="s">
        <v>107</v>
      </c>
      <c r="G211" s="95">
        <f t="shared" si="81"/>
        <v>35.372604684173226</v>
      </c>
      <c r="H211" s="115">
        <f t="shared" si="82"/>
        <v>47.033333333333289</v>
      </c>
      <c r="I211" s="115">
        <f t="shared" si="83"/>
        <v>96.141666666666509</v>
      </c>
      <c r="J211" s="115">
        <f t="shared" si="78"/>
        <v>0.80952380952380887</v>
      </c>
      <c r="K211" s="115">
        <f t="shared" si="79"/>
        <v>0.41596638655462226</v>
      </c>
      <c r="L211" s="96">
        <f t="shared" si="53"/>
        <v>224472.75305281443</v>
      </c>
      <c r="M211" s="116">
        <f t="shared" si="84"/>
        <v>-282827.55618642078</v>
      </c>
      <c r="N211" s="96">
        <f t="shared" si="54"/>
        <v>491727.54577927204</v>
      </c>
      <c r="O211" s="96">
        <f t="shared" si="55"/>
        <v>433372.74264566565</v>
      </c>
      <c r="P211" s="116">
        <f t="shared" si="85"/>
        <v>99975392.130246848</v>
      </c>
      <c r="Q211" s="97">
        <f t="shared" si="56"/>
        <v>-0.12324989012200223</v>
      </c>
      <c r="R211" s="97">
        <f t="shared" si="57"/>
        <v>6.7887058629747907E-2</v>
      </c>
      <c r="S211" s="71">
        <f t="shared" si="58"/>
        <v>-6.7887058629747907E-2</v>
      </c>
      <c r="T211" s="98">
        <f t="shared" si="59"/>
        <v>230.69146324227586</v>
      </c>
      <c r="U211" s="99">
        <f t="shared" si="60"/>
        <v>0.64800972820864</v>
      </c>
      <c r="V211" s="93" t="str">
        <f t="shared" si="61"/>
        <v>NO</v>
      </c>
      <c r="W211" s="95">
        <f t="shared" si="62"/>
        <v>-433.37274264566565</v>
      </c>
      <c r="X211" s="95">
        <f t="shared" si="63"/>
        <v>99.975392130246846</v>
      </c>
      <c r="Y211" s="95">
        <f t="shared" si="64"/>
        <v>-99.975392130246846</v>
      </c>
      <c r="Z211" s="95">
        <f t="shared" si="65"/>
        <v>716.20029883208645</v>
      </c>
      <c r="AA211" s="93" t="str">
        <f t="shared" si="66"/>
        <v/>
      </c>
      <c r="AB211" s="100"/>
      <c r="AC211" s="71"/>
      <c r="AD211" s="39"/>
    </row>
    <row r="212" spans="1:30" ht="18.75" x14ac:dyDescent="0.25">
      <c r="A212" s="39"/>
      <c r="B212" s="39"/>
      <c r="C212" s="113">
        <f t="shared" si="80"/>
        <v>-3.5000000000000001E-3</v>
      </c>
      <c r="D212" s="94">
        <f t="shared" si="86"/>
        <v>3.1049999999999949E-2</v>
      </c>
      <c r="E212" s="94">
        <f t="shared" si="87"/>
        <v>7.7022471910111765E-4</v>
      </c>
      <c r="F212" s="93" t="s">
        <v>107</v>
      </c>
      <c r="G212" s="95">
        <f t="shared" si="81"/>
        <v>36.063675832127402</v>
      </c>
      <c r="H212" s="115">
        <f t="shared" si="82"/>
        <v>47.033333333333289</v>
      </c>
      <c r="I212" s="115">
        <f t="shared" si="83"/>
        <v>96.141666666666509</v>
      </c>
      <c r="J212" s="115">
        <f t="shared" si="78"/>
        <v>0.80952380952380887</v>
      </c>
      <c r="K212" s="115">
        <f t="shared" si="79"/>
        <v>0.41596638655462226</v>
      </c>
      <c r="L212" s="96">
        <f t="shared" si="53"/>
        <v>202535.13947707048</v>
      </c>
      <c r="M212" s="116">
        <f t="shared" si="84"/>
        <v>-288353.13072841306</v>
      </c>
      <c r="N212" s="96">
        <f t="shared" si="54"/>
        <v>491727.54577927204</v>
      </c>
      <c r="O212" s="96">
        <f t="shared" si="55"/>
        <v>405909.55452792946</v>
      </c>
      <c r="P212" s="116">
        <f t="shared" si="85"/>
        <v>104821209.30215901</v>
      </c>
      <c r="Q212" s="97">
        <f t="shared" si="56"/>
        <v>-0.11543944293686771</v>
      </c>
      <c r="R212" s="97">
        <f t="shared" si="57"/>
        <v>7.1177551094434258E-2</v>
      </c>
      <c r="S212" s="71">
        <f t="shared" si="58"/>
        <v>-7.1177551094434258E-2</v>
      </c>
      <c r="T212" s="98">
        <f t="shared" si="59"/>
        <v>258.23784666528849</v>
      </c>
      <c r="U212" s="99">
        <f t="shared" si="60"/>
        <v>0.72538720973395643</v>
      </c>
      <c r="V212" s="93" t="str">
        <f t="shared" si="61"/>
        <v>NO</v>
      </c>
      <c r="W212" s="95">
        <f t="shared" si="62"/>
        <v>-405.90955452792946</v>
      </c>
      <c r="X212" s="95">
        <f t="shared" si="63"/>
        <v>104.82120930215901</v>
      </c>
      <c r="Y212" s="95">
        <f t="shared" si="64"/>
        <v>-104.82120930215901</v>
      </c>
      <c r="Z212" s="95">
        <f t="shared" si="65"/>
        <v>694.26268525634248</v>
      </c>
      <c r="AA212" s="93" t="str">
        <f t="shared" si="66"/>
        <v/>
      </c>
      <c r="AB212" s="100"/>
      <c r="AC212" s="71"/>
      <c r="AD212" s="39"/>
    </row>
    <row r="213" spans="1:30" ht="18.75" x14ac:dyDescent="0.25">
      <c r="A213" s="39"/>
      <c r="B213" s="39"/>
      <c r="C213" s="113">
        <f t="shared" si="80"/>
        <v>-3.5000000000000001E-3</v>
      </c>
      <c r="D213" s="94">
        <f t="shared" si="86"/>
        <v>3.0374999999999951E-2</v>
      </c>
      <c r="E213" s="94">
        <f t="shared" si="87"/>
        <v>6.8679775280898285E-4</v>
      </c>
      <c r="F213" s="93" t="s">
        <v>107</v>
      </c>
      <c r="G213" s="95">
        <f t="shared" si="81"/>
        <v>36.782287822878281</v>
      </c>
      <c r="H213" s="115">
        <f t="shared" si="82"/>
        <v>47.033333333333289</v>
      </c>
      <c r="I213" s="115">
        <f t="shared" si="83"/>
        <v>96.141666666666509</v>
      </c>
      <c r="J213" s="115">
        <f t="shared" si="78"/>
        <v>0.80952380952380887</v>
      </c>
      <c r="K213" s="115">
        <f t="shared" si="79"/>
        <v>0.41596638655462226</v>
      </c>
      <c r="L213" s="96">
        <f t="shared" ref="L213:L277" si="88">IF(E213&gt;=($M$10*10^-3),$M$14*$Q$12,IF(E213&gt;=(-$M$10*10^-3),$M$16*E213*$Q$12,-$M$14*$Q$12))</f>
        <v>180597.52590132636</v>
      </c>
      <c r="M213" s="116">
        <f t="shared" si="84"/>
        <v>-294098.91266912688</v>
      </c>
      <c r="N213" s="96">
        <f t="shared" ref="N213:N277" si="89">IF(D213&gt;=($M$10*10^-3),$M$14*$Q$11,IF(D213&gt;=(-$M$10*10^-3),$Q$11*$M$16*D213,-$M$14*$Q$11))</f>
        <v>491727.54577927204</v>
      </c>
      <c r="O213" s="96">
        <f t="shared" ref="O213:O276" si="90">L213+M213+N213</f>
        <v>378226.15901147155</v>
      </c>
      <c r="P213" s="116">
        <f t="shared" si="85"/>
        <v>109701155.25459994</v>
      </c>
      <c r="Q213" s="97">
        <f t="shared" ref="Q213:Q277" si="91">-O213/($C$6*$C$13*$I$10*$I$16)</f>
        <v>-0.10756636943718741</v>
      </c>
      <c r="R213" s="97">
        <f t="shared" ref="R213:R277" si="92">P213/($C$6*$C$13^2*$I$10)</f>
        <v>7.4491218287174685E-2</v>
      </c>
      <c r="S213" s="71">
        <f t="shared" ref="S213:S276" si="93">-1*R213</f>
        <v>-7.4491218287174685E-2</v>
      </c>
      <c r="T213" s="98">
        <f t="shared" ref="T213:T277" si="94">P213/O213</f>
        <v>290.04116357608336</v>
      </c>
      <c r="U213" s="99">
        <f t="shared" ref="U213:U276" si="95">T213/$C$13</f>
        <v>0.81472236959573974</v>
      </c>
      <c r="V213" s="93" t="str">
        <f t="shared" ref="V213:V277" si="96">IF(T213&gt;=0, IF(T213&lt;=$C$8/6, "SI", "NO"),IF(T213&gt; -$C$8/6, "SI", "NO"))</f>
        <v>NO</v>
      </c>
      <c r="W213" s="95">
        <f t="shared" ref="W213:W277" si="97">-O213/10^3</f>
        <v>-378.22615901147157</v>
      </c>
      <c r="X213" s="95">
        <f t="shared" ref="X213:X277" si="98">P213/10^6</f>
        <v>109.70115525459994</v>
      </c>
      <c r="Y213" s="95">
        <f t="shared" ref="Y213:Y277" si="99">-P213/10^6</f>
        <v>-109.70115525459994</v>
      </c>
      <c r="Z213" s="95">
        <f t="shared" ref="Z213:Z277" si="100">(L213+N213)/10^3</f>
        <v>672.3250716805984</v>
      </c>
      <c r="AA213" s="93" t="str">
        <f t="shared" ref="AA213:AA276" si="101">IF(Z213&lt;1,IF(Z213&gt;-1,"ROTTURA BILANCIATA",""),"")</f>
        <v/>
      </c>
      <c r="AB213" s="100"/>
      <c r="AC213" s="71"/>
      <c r="AD213" s="39"/>
    </row>
    <row r="214" spans="1:30" ht="18.75" x14ac:dyDescent="0.25">
      <c r="A214" s="39"/>
      <c r="B214" s="39"/>
      <c r="C214" s="113">
        <f t="shared" si="80"/>
        <v>-3.5000000000000001E-3</v>
      </c>
      <c r="D214" s="94">
        <f t="shared" si="86"/>
        <v>2.9699999999999952E-2</v>
      </c>
      <c r="E214" s="94">
        <f t="shared" si="87"/>
        <v>6.0337078651684774E-4</v>
      </c>
      <c r="F214" s="93" t="s">
        <v>107</v>
      </c>
      <c r="G214" s="95">
        <f t="shared" si="81"/>
        <v>37.530120481927767</v>
      </c>
      <c r="H214" s="115">
        <f t="shared" si="82"/>
        <v>47.033333333333289</v>
      </c>
      <c r="I214" s="115">
        <f t="shared" si="83"/>
        <v>96.141666666666509</v>
      </c>
      <c r="J214" s="115">
        <f t="shared" si="78"/>
        <v>0.80952380952380887</v>
      </c>
      <c r="K214" s="115">
        <f t="shared" si="79"/>
        <v>0.41596638655462226</v>
      </c>
      <c r="L214" s="96">
        <f t="shared" si="88"/>
        <v>158659.91232558215</v>
      </c>
      <c r="M214" s="116">
        <f t="shared" si="84"/>
        <v>-300078.33333333355</v>
      </c>
      <c r="N214" s="96">
        <f t="shared" si="89"/>
        <v>491727.54577927204</v>
      </c>
      <c r="O214" s="96">
        <f t="shared" si="90"/>
        <v>350309.12477152061</v>
      </c>
      <c r="P214" s="116">
        <f t="shared" si="85"/>
        <v>114617101.95756808</v>
      </c>
      <c r="Q214" s="97">
        <f t="shared" si="91"/>
        <v>-9.9626849795040981E-2</v>
      </c>
      <c r="R214" s="97">
        <f t="shared" si="92"/>
        <v>7.7829331346139577E-2</v>
      </c>
      <c r="S214" s="71">
        <f t="shared" si="93"/>
        <v>-7.7829331346139577E-2</v>
      </c>
      <c r="T214" s="98">
        <f t="shared" si="94"/>
        <v>327.18845685884975</v>
      </c>
      <c r="U214" s="99">
        <f t="shared" si="95"/>
        <v>0.91906869904171273</v>
      </c>
      <c r="V214" s="93" t="str">
        <f t="shared" si="96"/>
        <v>NO</v>
      </c>
      <c r="W214" s="95">
        <f t="shared" si="97"/>
        <v>-350.3091247715206</v>
      </c>
      <c r="X214" s="95">
        <f t="shared" si="98"/>
        <v>114.61710195756808</v>
      </c>
      <c r="Y214" s="95">
        <f t="shared" si="99"/>
        <v>-114.61710195756808</v>
      </c>
      <c r="Z214" s="95">
        <f t="shared" si="100"/>
        <v>650.3874581048542</v>
      </c>
      <c r="AA214" s="93" t="str">
        <f t="shared" si="101"/>
        <v/>
      </c>
      <c r="AB214" s="100"/>
      <c r="AC214" s="71"/>
      <c r="AD214" s="39"/>
    </row>
    <row r="215" spans="1:30" ht="18.75" x14ac:dyDescent="0.25">
      <c r="A215" s="39"/>
      <c r="B215" s="39"/>
      <c r="C215" s="113">
        <f t="shared" si="80"/>
        <v>-3.5000000000000001E-3</v>
      </c>
      <c r="D215" s="94">
        <f t="shared" si="86"/>
        <v>2.9024999999999954E-2</v>
      </c>
      <c r="E215" s="94">
        <f t="shared" si="87"/>
        <v>5.1994382022471381E-4</v>
      </c>
      <c r="F215" s="93" t="s">
        <v>107</v>
      </c>
      <c r="G215" s="95">
        <f t="shared" si="81"/>
        <v>38.308993082244477</v>
      </c>
      <c r="H215" s="115">
        <f t="shared" si="82"/>
        <v>47.033333333333289</v>
      </c>
      <c r="I215" s="115">
        <f t="shared" si="83"/>
        <v>96.141666666666509</v>
      </c>
      <c r="J215" s="115">
        <f t="shared" si="78"/>
        <v>0.80952380952380887</v>
      </c>
      <c r="K215" s="115">
        <f t="shared" si="79"/>
        <v>0.41596638655462226</v>
      </c>
      <c r="L215" s="96">
        <f t="shared" si="88"/>
        <v>136722.29874983826</v>
      </c>
      <c r="M215" s="116">
        <f t="shared" si="84"/>
        <v>-306305.93902126583</v>
      </c>
      <c r="N215" s="96">
        <f t="shared" si="89"/>
        <v>491727.54577927204</v>
      </c>
      <c r="O215" s="96">
        <f t="shared" si="90"/>
        <v>322143.90550784447</v>
      </c>
      <c r="P215" s="116">
        <f t="shared" si="85"/>
        <v>119571059.01161595</v>
      </c>
      <c r="Q215" s="97">
        <f t="shared" si="91"/>
        <v>-9.1616747086877726E-2</v>
      </c>
      <c r="R215" s="97">
        <f t="shared" si="92"/>
        <v>8.1193254865831913E-2</v>
      </c>
      <c r="S215" s="71">
        <f t="shared" si="93"/>
        <v>-8.1193254865831913E-2</v>
      </c>
      <c r="T215" s="98">
        <f t="shared" si="94"/>
        <v>371.17281117927058</v>
      </c>
      <c r="U215" s="99">
        <f t="shared" si="95"/>
        <v>1.0426202561215465</v>
      </c>
      <c r="V215" s="93" t="str">
        <f t="shared" si="96"/>
        <v>NO</v>
      </c>
      <c r="W215" s="95">
        <f t="shared" si="97"/>
        <v>-322.14390550784447</v>
      </c>
      <c r="X215" s="95">
        <f t="shared" si="98"/>
        <v>119.57105901161594</v>
      </c>
      <c r="Y215" s="95">
        <f t="shared" si="99"/>
        <v>-119.57105901161594</v>
      </c>
      <c r="Z215" s="95">
        <f t="shared" si="100"/>
        <v>628.44984452911024</v>
      </c>
      <c r="AA215" s="93" t="str">
        <f t="shared" si="101"/>
        <v/>
      </c>
      <c r="AB215" s="100"/>
      <c r="AC215" s="71"/>
      <c r="AD215" s="39"/>
    </row>
    <row r="216" spans="1:30" ht="18.75" x14ac:dyDescent="0.25">
      <c r="A216" s="39"/>
      <c r="B216" s="39"/>
      <c r="C216" s="113">
        <f t="shared" si="80"/>
        <v>-3.5000000000000001E-3</v>
      </c>
      <c r="D216" s="94">
        <f t="shared" si="86"/>
        <v>2.8349999999999955E-2</v>
      </c>
      <c r="E216" s="94">
        <f t="shared" si="87"/>
        <v>4.3651685393257826E-4</v>
      </c>
      <c r="F216" s="93" t="s">
        <v>107</v>
      </c>
      <c r="G216" s="95">
        <f t="shared" si="81"/>
        <v>39.120879120879181</v>
      </c>
      <c r="H216" s="115">
        <f t="shared" si="82"/>
        <v>47.033333333333289</v>
      </c>
      <c r="I216" s="115">
        <f t="shared" si="83"/>
        <v>96.141666666666509</v>
      </c>
      <c r="J216" s="115">
        <f t="shared" si="78"/>
        <v>0.80952380952380887</v>
      </c>
      <c r="K216" s="115">
        <f t="shared" si="79"/>
        <v>0.41596638655462226</v>
      </c>
      <c r="L216" s="96">
        <f t="shared" si="88"/>
        <v>114784.68517409395</v>
      </c>
      <c r="M216" s="116">
        <f t="shared" si="84"/>
        <v>-312797.50915750937</v>
      </c>
      <c r="N216" s="96">
        <f t="shared" si="89"/>
        <v>491727.54577927204</v>
      </c>
      <c r="O216" s="96">
        <f t="shared" si="90"/>
        <v>293714.7217958566</v>
      </c>
      <c r="P216" s="116">
        <f t="shared" si="85"/>
        <v>124565186.3093024</v>
      </c>
      <c r="Q216" s="97">
        <f t="shared" si="91"/>
        <v>-8.3531573692330455E-2</v>
      </c>
      <c r="R216" s="97">
        <f t="shared" si="92"/>
        <v>8.4584455494690375E-2</v>
      </c>
      <c r="S216" s="71">
        <f t="shared" si="93"/>
        <v>-8.4584455494690375E-2</v>
      </c>
      <c r="T216" s="98">
        <f t="shared" si="94"/>
        <v>424.10263110978877</v>
      </c>
      <c r="U216" s="99">
        <f t="shared" si="95"/>
        <v>1.1912995255892944</v>
      </c>
      <c r="V216" s="93" t="str">
        <f t="shared" si="96"/>
        <v>NO</v>
      </c>
      <c r="W216" s="95">
        <f t="shared" si="97"/>
        <v>-293.71472179585658</v>
      </c>
      <c r="X216" s="95">
        <f t="shared" si="98"/>
        <v>124.5651863093024</v>
      </c>
      <c r="Y216" s="95">
        <f t="shared" si="99"/>
        <v>-124.5651863093024</v>
      </c>
      <c r="Z216" s="95">
        <f t="shared" si="100"/>
        <v>606.51223095336604</v>
      </c>
      <c r="AA216" s="93" t="str">
        <f t="shared" si="101"/>
        <v/>
      </c>
      <c r="AB216" s="100"/>
      <c r="AC216" s="71"/>
      <c r="AD216" s="39"/>
    </row>
    <row r="217" spans="1:30" ht="18.75" x14ac:dyDescent="0.25">
      <c r="A217" s="39"/>
      <c r="B217" s="39"/>
      <c r="C217" s="113">
        <f t="shared" si="80"/>
        <v>-3.5000000000000001E-3</v>
      </c>
      <c r="D217" s="94">
        <f t="shared" si="86"/>
        <v>2.7674999999999957E-2</v>
      </c>
      <c r="E217" s="94">
        <f t="shared" si="87"/>
        <v>3.5308988764044358E-4</v>
      </c>
      <c r="F217" s="93" t="s">
        <v>107</v>
      </c>
      <c r="G217" s="95">
        <f t="shared" si="81"/>
        <v>39.967923015236629</v>
      </c>
      <c r="H217" s="115">
        <f t="shared" si="82"/>
        <v>47.033333333333289</v>
      </c>
      <c r="I217" s="115">
        <f t="shared" si="83"/>
        <v>96.141666666666509</v>
      </c>
      <c r="J217" s="115">
        <f t="shared" si="78"/>
        <v>0.80952380952380887</v>
      </c>
      <c r="K217" s="115">
        <f t="shared" si="79"/>
        <v>0.41596638655462226</v>
      </c>
      <c r="L217" s="96">
        <f t="shared" si="88"/>
        <v>92847.071598349867</v>
      </c>
      <c r="M217" s="116">
        <f t="shared" si="84"/>
        <v>-319570.18978882674</v>
      </c>
      <c r="N217" s="96">
        <f t="shared" si="89"/>
        <v>491727.54577927204</v>
      </c>
      <c r="O217" s="96">
        <f t="shared" si="90"/>
        <v>265004.4275887952</v>
      </c>
      <c r="P217" s="116">
        <f t="shared" si="85"/>
        <v>129601808.08633506</v>
      </c>
      <c r="Q217" s="97">
        <f t="shared" si="91"/>
        <v>-7.5366453327841226E-2</v>
      </c>
      <c r="R217" s="97">
        <f t="shared" si="92"/>
        <v>8.8004511476344638E-2</v>
      </c>
      <c r="S217" s="71">
        <f t="shared" si="93"/>
        <v>-8.8004511476344638E-2</v>
      </c>
      <c r="T217" s="98">
        <f t="shared" si="94"/>
        <v>489.05525566326361</v>
      </c>
      <c r="U217" s="99">
        <f t="shared" si="95"/>
        <v>1.3737507181552349</v>
      </c>
      <c r="V217" s="93" t="str">
        <f t="shared" si="96"/>
        <v>NO</v>
      </c>
      <c r="W217" s="95">
        <f t="shared" si="97"/>
        <v>-265.00442758879518</v>
      </c>
      <c r="X217" s="95">
        <f t="shared" si="98"/>
        <v>129.60180808633507</v>
      </c>
      <c r="Y217" s="95">
        <f t="shared" si="99"/>
        <v>-129.60180808633507</v>
      </c>
      <c r="Z217" s="95">
        <f t="shared" si="100"/>
        <v>584.57461737762196</v>
      </c>
      <c r="AA217" s="93" t="str">
        <f t="shared" si="101"/>
        <v/>
      </c>
      <c r="AB217" s="100"/>
      <c r="AC217" s="71"/>
      <c r="AD217" s="39"/>
    </row>
    <row r="218" spans="1:30" ht="18.75" x14ac:dyDescent="0.25">
      <c r="A218" s="39"/>
      <c r="B218" s="39"/>
      <c r="C218" s="113">
        <f t="shared" si="80"/>
        <v>-3.5000000000000001E-3</v>
      </c>
      <c r="D218" s="94">
        <f t="shared" si="86"/>
        <v>2.6999999999999958E-2</v>
      </c>
      <c r="E218" s="94">
        <f t="shared" si="87"/>
        <v>2.6966292134830965E-4</v>
      </c>
      <c r="F218" s="93" t="s">
        <v>107</v>
      </c>
      <c r="G218" s="95">
        <f t="shared" si="81"/>
        <v>40.852459016393496</v>
      </c>
      <c r="H218" s="115">
        <f t="shared" si="82"/>
        <v>47.033333333333289</v>
      </c>
      <c r="I218" s="115">
        <f t="shared" si="83"/>
        <v>96.141666666666509</v>
      </c>
      <c r="J218" s="115">
        <f t="shared" ref="J218:J249" si="102">H218/($I$10*(-$I$12))</f>
        <v>0.80952380952380887</v>
      </c>
      <c r="K218" s="115">
        <f t="shared" si="79"/>
        <v>0.41596638655462226</v>
      </c>
      <c r="L218" s="96">
        <f t="shared" si="88"/>
        <v>70909.458022605977</v>
      </c>
      <c r="M218" s="116">
        <f t="shared" si="84"/>
        <v>-326642.64480874332</v>
      </c>
      <c r="N218" s="96">
        <f t="shared" si="89"/>
        <v>491727.54577927204</v>
      </c>
      <c r="O218" s="96">
        <f t="shared" si="90"/>
        <v>235994.35899313469</v>
      </c>
      <c r="P218" s="116">
        <f t="shared" si="85"/>
        <v>134683428.53728607</v>
      </c>
      <c r="Q218" s="97">
        <f t="shared" si="91"/>
        <v>-6.7116078038848268E-2</v>
      </c>
      <c r="R218" s="97">
        <f t="shared" si="92"/>
        <v>9.1455123253274762E-2</v>
      </c>
      <c r="S218" s="71">
        <f t="shared" si="93"/>
        <v>-9.1455123253274762E-2</v>
      </c>
      <c r="T218" s="98">
        <f t="shared" si="94"/>
        <v>570.70613514623938</v>
      </c>
      <c r="U218" s="99">
        <f t="shared" si="95"/>
        <v>1.6031071211973016</v>
      </c>
      <c r="V218" s="93" t="str">
        <f t="shared" si="96"/>
        <v>NO</v>
      </c>
      <c r="W218" s="95">
        <f t="shared" si="97"/>
        <v>-235.99435899313468</v>
      </c>
      <c r="X218" s="95">
        <f t="shared" si="98"/>
        <v>134.68342853728606</v>
      </c>
      <c r="Y218" s="95">
        <f t="shared" si="99"/>
        <v>-134.68342853728606</v>
      </c>
      <c r="Z218" s="95">
        <f t="shared" si="100"/>
        <v>562.63700380187811</v>
      </c>
      <c r="AA218" s="93" t="str">
        <f t="shared" si="101"/>
        <v/>
      </c>
      <c r="AB218" s="100"/>
      <c r="AC218" s="71"/>
      <c r="AD218" s="39"/>
    </row>
    <row r="219" spans="1:30" ht="18.75" x14ac:dyDescent="0.25">
      <c r="A219" s="39"/>
      <c r="B219" s="39"/>
      <c r="C219" s="113">
        <f t="shared" si="80"/>
        <v>-3.5000000000000001E-3</v>
      </c>
      <c r="D219" s="94">
        <f t="shared" si="86"/>
        <v>2.632499999999996E-2</v>
      </c>
      <c r="E219" s="94">
        <f t="shared" si="87"/>
        <v>1.8623595505617462E-4</v>
      </c>
      <c r="F219" s="93" t="s">
        <v>107</v>
      </c>
      <c r="G219" s="95">
        <f t="shared" si="81"/>
        <v>41.777032690695783</v>
      </c>
      <c r="H219" s="115">
        <f t="shared" si="82"/>
        <v>47.033333333333289</v>
      </c>
      <c r="I219" s="115">
        <f t="shared" si="83"/>
        <v>96.141666666666509</v>
      </c>
      <c r="J219" s="115">
        <f t="shared" si="102"/>
        <v>0.80952380952380887</v>
      </c>
      <c r="K219" s="115">
        <f t="shared" ref="K219:K250" si="103">1-(I219/H219)/(-C219*10^3)</f>
        <v>0.41596638655462226</v>
      </c>
      <c r="L219" s="96">
        <f t="shared" si="88"/>
        <v>48971.844446861789</v>
      </c>
      <c r="M219" s="116">
        <f t="shared" si="84"/>
        <v>-334035.22771723964</v>
      </c>
      <c r="N219" s="96">
        <f t="shared" si="89"/>
        <v>491727.54577927204</v>
      </c>
      <c r="O219" s="96">
        <f t="shared" si="90"/>
        <v>206664.16250889417</v>
      </c>
      <c r="P219" s="116">
        <f t="shared" si="85"/>
        <v>139812749.19494247</v>
      </c>
      <c r="Q219" s="97">
        <f t="shared" si="91"/>
        <v>-5.8774659351851992E-2</v>
      </c>
      <c r="R219" s="97">
        <f t="shared" si="92"/>
        <v>9.4938125268045029E-2</v>
      </c>
      <c r="S219" s="71">
        <f t="shared" si="93"/>
        <v>-9.4938125268045029E-2</v>
      </c>
      <c r="T219" s="98">
        <f t="shared" si="94"/>
        <v>676.52149989442592</v>
      </c>
      <c r="U219" s="99">
        <f t="shared" si="95"/>
        <v>1.9003412918382749</v>
      </c>
      <c r="V219" s="93" t="str">
        <f t="shared" si="96"/>
        <v>NO</v>
      </c>
      <c r="W219" s="95">
        <f t="shared" si="97"/>
        <v>-206.66416250889418</v>
      </c>
      <c r="X219" s="95">
        <f t="shared" si="98"/>
        <v>139.81274919494248</v>
      </c>
      <c r="Y219" s="95">
        <f t="shared" si="99"/>
        <v>-139.81274919494248</v>
      </c>
      <c r="Z219" s="95">
        <f t="shared" si="100"/>
        <v>540.69939022613391</v>
      </c>
      <c r="AA219" s="93" t="str">
        <f t="shared" si="101"/>
        <v/>
      </c>
      <c r="AB219" s="100"/>
      <c r="AC219" s="71"/>
      <c r="AD219" s="39"/>
    </row>
    <row r="220" spans="1:30" ht="18.75" x14ac:dyDescent="0.25">
      <c r="A220" s="39"/>
      <c r="B220" s="39"/>
      <c r="C220" s="113">
        <f t="shared" si="80"/>
        <v>-3.5000000000000001E-3</v>
      </c>
      <c r="D220" s="94">
        <f t="shared" si="86"/>
        <v>2.5649999999999961E-2</v>
      </c>
      <c r="E220" s="94">
        <f t="shared" si="87"/>
        <v>1.0280898876404031E-4</v>
      </c>
      <c r="F220" s="93" t="s">
        <v>107</v>
      </c>
      <c r="G220" s="95">
        <f t="shared" si="81"/>
        <v>42.744425385934875</v>
      </c>
      <c r="H220" s="115">
        <f t="shared" si="82"/>
        <v>47.033333333333289</v>
      </c>
      <c r="I220" s="115">
        <f t="shared" si="83"/>
        <v>96.141666666666509</v>
      </c>
      <c r="J220" s="115">
        <f t="shared" si="102"/>
        <v>0.80952380952380887</v>
      </c>
      <c r="K220" s="115">
        <f t="shared" si="103"/>
        <v>0.41596638655462226</v>
      </c>
      <c r="L220" s="96">
        <f t="shared" si="88"/>
        <v>27034.230871117805</v>
      </c>
      <c r="M220" s="116">
        <f t="shared" si="84"/>
        <v>-341770.17724413966</v>
      </c>
      <c r="N220" s="96">
        <f t="shared" si="89"/>
        <v>491727.54577927204</v>
      </c>
      <c r="O220" s="96">
        <f t="shared" si="90"/>
        <v>176991.59940625017</v>
      </c>
      <c r="P220" s="116">
        <f t="shared" si="85"/>
        <v>144992688.29998091</v>
      </c>
      <c r="Q220" s="97">
        <f t="shared" si="91"/>
        <v>-5.0335872639718594E-2</v>
      </c>
      <c r="R220" s="97">
        <f t="shared" si="92"/>
        <v>9.8455499116042955E-2</v>
      </c>
      <c r="S220" s="71">
        <f t="shared" si="93"/>
        <v>-9.8455499116042955E-2</v>
      </c>
      <c r="T220" s="98">
        <f t="shared" si="94"/>
        <v>819.20661085828192</v>
      </c>
      <c r="U220" s="99">
        <f t="shared" si="95"/>
        <v>2.3011421653322528</v>
      </c>
      <c r="V220" s="93" t="str">
        <f t="shared" si="96"/>
        <v>NO</v>
      </c>
      <c r="W220" s="95">
        <f t="shared" si="97"/>
        <v>-176.99159940625017</v>
      </c>
      <c r="X220" s="95">
        <f t="shared" si="98"/>
        <v>144.9926882999809</v>
      </c>
      <c r="Y220" s="95">
        <f t="shared" si="99"/>
        <v>-144.9926882999809</v>
      </c>
      <c r="Z220" s="95">
        <f t="shared" si="100"/>
        <v>518.76177665038983</v>
      </c>
      <c r="AA220" s="93" t="str">
        <f t="shared" si="101"/>
        <v/>
      </c>
      <c r="AB220" s="100"/>
      <c r="AC220" s="71"/>
      <c r="AD220" s="39"/>
    </row>
    <row r="221" spans="1:30" ht="18.75" x14ac:dyDescent="0.25">
      <c r="A221" s="39"/>
      <c r="B221" s="39"/>
      <c r="C221" s="113">
        <f t="shared" si="80"/>
        <v>-3.5000000000000001E-3</v>
      </c>
      <c r="D221" s="94">
        <f t="shared" si="86"/>
        <v>2.4974999999999963E-2</v>
      </c>
      <c r="E221" s="94">
        <f t="shared" si="87"/>
        <v>1.9382022471905716E-5</v>
      </c>
      <c r="F221" s="93" t="s">
        <v>107</v>
      </c>
      <c r="G221" s="95">
        <f t="shared" si="81"/>
        <v>43.757682177348606</v>
      </c>
      <c r="H221" s="115">
        <f t="shared" si="82"/>
        <v>47.033333333333289</v>
      </c>
      <c r="I221" s="115">
        <f t="shared" si="83"/>
        <v>96.141666666666509</v>
      </c>
      <c r="J221" s="115">
        <f t="shared" si="102"/>
        <v>0.80952380952380887</v>
      </c>
      <c r="K221" s="115">
        <f t="shared" si="103"/>
        <v>0.41596638655462226</v>
      </c>
      <c r="L221" s="96">
        <f t="shared" si="88"/>
        <v>5096.6172953737423</v>
      </c>
      <c r="M221" s="116">
        <f t="shared" si="84"/>
        <v>-349871.84079602006</v>
      </c>
      <c r="N221" s="96">
        <f t="shared" si="89"/>
        <v>491727.54577927204</v>
      </c>
      <c r="O221" s="96">
        <f t="shared" si="90"/>
        <v>146952.32227862574</v>
      </c>
      <c r="P221" s="116">
        <f t="shared" si="85"/>
        <v>150226402.41915613</v>
      </c>
      <c r="Q221" s="97">
        <f t="shared" si="91"/>
        <v>-4.1792793574058039E-2</v>
      </c>
      <c r="R221" s="97">
        <f t="shared" si="92"/>
        <v>0.10200938822504395</v>
      </c>
      <c r="S221" s="71">
        <f t="shared" si="93"/>
        <v>-0.10200938822504395</v>
      </c>
      <c r="T221" s="98">
        <f t="shared" si="94"/>
        <v>1022.2798802343705</v>
      </c>
      <c r="U221" s="99">
        <f t="shared" si="95"/>
        <v>2.8715726972875575</v>
      </c>
      <c r="V221" s="93" t="str">
        <f t="shared" si="96"/>
        <v>NO</v>
      </c>
      <c r="W221" s="95">
        <f t="shared" si="97"/>
        <v>-146.95232227862573</v>
      </c>
      <c r="X221" s="95">
        <f t="shared" si="98"/>
        <v>150.22640241915613</v>
      </c>
      <c r="Y221" s="95">
        <f t="shared" si="99"/>
        <v>-150.22640241915613</v>
      </c>
      <c r="Z221" s="95">
        <f t="shared" si="100"/>
        <v>496.82416307464581</v>
      </c>
      <c r="AA221" s="93" t="str">
        <f t="shared" si="101"/>
        <v/>
      </c>
      <c r="AB221" s="100"/>
      <c r="AC221" s="71"/>
      <c r="AD221" s="39"/>
    </row>
    <row r="222" spans="1:30" ht="18.75" x14ac:dyDescent="0.25">
      <c r="A222" s="39"/>
      <c r="B222" s="39"/>
      <c r="C222" s="113">
        <f t="shared" ref="C222:C253" si="104">$I$12*10^-3</f>
        <v>-3.5000000000000001E-3</v>
      </c>
      <c r="D222" s="94">
        <f t="shared" si="86"/>
        <v>2.4299999999999964E-2</v>
      </c>
      <c r="E222" s="94">
        <f t="shared" si="87"/>
        <v>-6.4044943820229367E-5</v>
      </c>
      <c r="F222" s="93" t="s">
        <v>107</v>
      </c>
      <c r="G222" s="95">
        <f t="shared" ref="G222:G258" si="105">(-$I$12*10^-3/(-$I$12*10^-3+D222))*$C$13</f>
        <v>44.820143884892147</v>
      </c>
      <c r="H222" s="115">
        <f t="shared" ref="H222:H258" si="106">$H$157</f>
        <v>47.033333333333289</v>
      </c>
      <c r="I222" s="115">
        <f t="shared" ref="I222:I258" si="107">$I$157</f>
        <v>96.141666666666509</v>
      </c>
      <c r="J222" s="115">
        <f t="shared" si="102"/>
        <v>0.80952380952380887</v>
      </c>
      <c r="K222" s="115">
        <f t="shared" si="103"/>
        <v>0.41596638655462226</v>
      </c>
      <c r="L222" s="96">
        <f t="shared" si="88"/>
        <v>-16840.996280370447</v>
      </c>
      <c r="M222" s="116">
        <f t="shared" ref="M222:M258" si="108">-$I$16*$C$6*J222*$I$10*G222</f>
        <v>-358366.93045563565</v>
      </c>
      <c r="N222" s="96">
        <f t="shared" si="89"/>
        <v>491727.54577927204</v>
      </c>
      <c r="O222" s="96">
        <f t="shared" si="90"/>
        <v>116519.61904326594</v>
      </c>
      <c r="P222" s="116">
        <f t="shared" ref="P222:P258" si="109">-M222*($C$8/2-(K222*G222))-L222*($C$13/2)+N222*($C$13/2)</f>
        <v>155517310.6060029</v>
      </c>
      <c r="Q222" s="97">
        <f t="shared" si="91"/>
        <v>-3.3137825319766258E-2</v>
      </c>
      <c r="R222" s="97">
        <f t="shared" si="92"/>
        <v>0.10560211426123832</v>
      </c>
      <c r="S222" s="71">
        <f t="shared" si="93"/>
        <v>-0.10560211426123832</v>
      </c>
      <c r="T222" s="98">
        <f t="shared" si="94"/>
        <v>1334.6877708916675</v>
      </c>
      <c r="U222" s="99">
        <f t="shared" si="95"/>
        <v>3.7491229519428861</v>
      </c>
      <c r="V222" s="93" t="str">
        <f t="shared" si="96"/>
        <v>NO</v>
      </c>
      <c r="W222" s="95">
        <f t="shared" si="97"/>
        <v>-116.51961904326593</v>
      </c>
      <c r="X222" s="95">
        <f t="shared" si="98"/>
        <v>155.51731060600289</v>
      </c>
      <c r="Y222" s="95">
        <f t="shared" si="99"/>
        <v>-155.51731060600289</v>
      </c>
      <c r="Z222" s="95">
        <f t="shared" si="100"/>
        <v>474.88654949890156</v>
      </c>
      <c r="AA222" s="93" t="str">
        <f t="shared" si="101"/>
        <v/>
      </c>
      <c r="AB222" s="100"/>
      <c r="AC222" s="71"/>
      <c r="AD222" s="39"/>
    </row>
    <row r="223" spans="1:30" ht="18.75" x14ac:dyDescent="0.25">
      <c r="A223" s="39"/>
      <c r="B223" s="39"/>
      <c r="C223" s="113">
        <f t="shared" si="104"/>
        <v>-3.5000000000000001E-3</v>
      </c>
      <c r="D223" s="94">
        <f t="shared" ref="D223:D258" si="110">D222-($M$8*10^-3/100)</f>
        <v>2.3624999999999965E-2</v>
      </c>
      <c r="E223" s="94">
        <f t="shared" ref="E223:E258" si="111">($I$12*(G223-$C$10))/(G223*1000)</f>
        <v>-1.4747191011236382E-4</v>
      </c>
      <c r="F223" s="93" t="s">
        <v>107</v>
      </c>
      <c r="G223" s="95">
        <f t="shared" si="105"/>
        <v>45.935483870967801</v>
      </c>
      <c r="H223" s="115">
        <f t="shared" si="106"/>
        <v>47.033333333333289</v>
      </c>
      <c r="I223" s="115">
        <f t="shared" si="107"/>
        <v>96.141666666666509</v>
      </c>
      <c r="J223" s="115">
        <f t="shared" si="102"/>
        <v>0.80952380952380887</v>
      </c>
      <c r="K223" s="115">
        <f t="shared" si="103"/>
        <v>0.41596638655462226</v>
      </c>
      <c r="L223" s="96">
        <f t="shared" si="88"/>
        <v>-38778.609856114475</v>
      </c>
      <c r="M223" s="116">
        <f t="shared" si="108"/>
        <v>-367284.81720430125</v>
      </c>
      <c r="N223" s="96">
        <f t="shared" si="89"/>
        <v>491727.54577927204</v>
      </c>
      <c r="O223" s="96">
        <f t="shared" si="90"/>
        <v>85664.118718856305</v>
      </c>
      <c r="P223" s="116">
        <f t="shared" si="109"/>
        <v>160869121.43859261</v>
      </c>
      <c r="Q223" s="97">
        <f t="shared" si="91"/>
        <v>-2.4362614859074573E-2</v>
      </c>
      <c r="R223" s="97">
        <f t="shared" si="92"/>
        <v>0.10923619548888693</v>
      </c>
      <c r="S223" s="71">
        <f t="shared" si="93"/>
        <v>-0.10923619548888693</v>
      </c>
      <c r="T223" s="98">
        <f t="shared" si="94"/>
        <v>1877.9055203562405</v>
      </c>
      <c r="U223" s="99">
        <f t="shared" si="95"/>
        <v>5.2750155066186526</v>
      </c>
      <c r="V223" s="93" t="str">
        <f t="shared" si="96"/>
        <v>NO</v>
      </c>
      <c r="W223" s="95">
        <f t="shared" si="97"/>
        <v>-85.664118718856301</v>
      </c>
      <c r="X223" s="95">
        <f t="shared" si="98"/>
        <v>160.8691214385926</v>
      </c>
      <c r="Y223" s="95">
        <f t="shared" si="99"/>
        <v>-160.8691214385926</v>
      </c>
      <c r="Z223" s="95">
        <f t="shared" si="100"/>
        <v>452.94893592315753</v>
      </c>
      <c r="AA223" s="93" t="str">
        <f t="shared" si="101"/>
        <v/>
      </c>
      <c r="AB223" s="100"/>
      <c r="AC223" s="71"/>
      <c r="AD223" s="39"/>
    </row>
    <row r="224" spans="1:30" ht="18.75" x14ac:dyDescent="0.25">
      <c r="A224" s="39"/>
      <c r="B224" s="39"/>
      <c r="C224" s="113">
        <f t="shared" si="104"/>
        <v>-3.5000000000000001E-3</v>
      </c>
      <c r="D224" s="94">
        <f t="shared" si="110"/>
        <v>2.2949999999999967E-2</v>
      </c>
      <c r="E224" s="94">
        <f t="shared" si="111"/>
        <v>-2.3089887640449886E-4</v>
      </c>
      <c r="F224" s="93" t="s">
        <v>107</v>
      </c>
      <c r="G224" s="95">
        <f t="shared" si="105"/>
        <v>47.107750472589856</v>
      </c>
      <c r="H224" s="115">
        <f t="shared" si="106"/>
        <v>47.033333333333289</v>
      </c>
      <c r="I224" s="115">
        <f t="shared" si="107"/>
        <v>96.141666666666509</v>
      </c>
      <c r="J224" s="115">
        <f t="shared" si="102"/>
        <v>0.80952380952380887</v>
      </c>
      <c r="K224" s="115">
        <f t="shared" si="103"/>
        <v>0.41596638655462226</v>
      </c>
      <c r="L224" s="96">
        <f t="shared" si="88"/>
        <v>-60716.223431858656</v>
      </c>
      <c r="M224" s="116">
        <f t="shared" si="108"/>
        <v>-376657.87019533728</v>
      </c>
      <c r="N224" s="96">
        <f t="shared" si="89"/>
        <v>491727.54577927204</v>
      </c>
      <c r="O224" s="96">
        <f t="shared" si="90"/>
        <v>54353.452152076119</v>
      </c>
      <c r="P224" s="116">
        <f t="shared" si="109"/>
        <v>166285863.31450078</v>
      </c>
      <c r="Q224" s="97">
        <f t="shared" si="91"/>
        <v>-1.5457956503213154E-2</v>
      </c>
      <c r="R224" s="97">
        <f t="shared" si="92"/>
        <v>0.11291436734174566</v>
      </c>
      <c r="S224" s="71">
        <f t="shared" si="93"/>
        <v>-0.11291436734174566</v>
      </c>
      <c r="T224" s="98">
        <f t="shared" si="94"/>
        <v>3059.3431830097516</v>
      </c>
      <c r="U224" s="99">
        <f t="shared" si="95"/>
        <v>8.5936606264318858</v>
      </c>
      <c r="V224" s="93" t="str">
        <f t="shared" si="96"/>
        <v>NO</v>
      </c>
      <c r="W224" s="95">
        <f t="shared" si="97"/>
        <v>-54.353452152076116</v>
      </c>
      <c r="X224" s="95">
        <f t="shared" si="98"/>
        <v>166.28586331450077</v>
      </c>
      <c r="Y224" s="95">
        <f t="shared" si="99"/>
        <v>-166.28586331450077</v>
      </c>
      <c r="Z224" s="95">
        <f t="shared" si="100"/>
        <v>431.0113223474134</v>
      </c>
      <c r="AA224" s="93" t="str">
        <f t="shared" si="101"/>
        <v/>
      </c>
      <c r="AB224" s="100"/>
      <c r="AC224" s="71"/>
      <c r="AD224" s="39"/>
    </row>
    <row r="225" spans="1:30" ht="18.75" x14ac:dyDescent="0.25">
      <c r="A225" s="39"/>
      <c r="B225" s="39"/>
      <c r="C225" s="113">
        <f t="shared" si="104"/>
        <v>-3.5000000000000001E-3</v>
      </c>
      <c r="D225" s="94">
        <f t="shared" si="110"/>
        <v>2.2274999999999968E-2</v>
      </c>
      <c r="E225" s="94">
        <f t="shared" si="111"/>
        <v>-3.1432584269663351E-4</v>
      </c>
      <c r="F225" s="93" t="s">
        <v>107</v>
      </c>
      <c r="G225" s="95">
        <f t="shared" si="105"/>
        <v>48.341416100873005</v>
      </c>
      <c r="H225" s="115">
        <f t="shared" si="106"/>
        <v>47.033333333333289</v>
      </c>
      <c r="I225" s="115">
        <f t="shared" si="107"/>
        <v>96.141666666666509</v>
      </c>
      <c r="J225" s="115">
        <f t="shared" si="102"/>
        <v>0.80952380952380887</v>
      </c>
      <c r="K225" s="115">
        <f t="shared" si="103"/>
        <v>0.41596638655462226</v>
      </c>
      <c r="L225" s="96">
        <f t="shared" si="88"/>
        <v>-82653.83700760272</v>
      </c>
      <c r="M225" s="116">
        <f t="shared" si="108"/>
        <v>-386521.84933721327</v>
      </c>
      <c r="N225" s="96">
        <f t="shared" si="89"/>
        <v>491727.54577927204</v>
      </c>
      <c r="O225" s="96">
        <f t="shared" si="90"/>
        <v>22551.859434456041</v>
      </c>
      <c r="P225" s="116">
        <f t="shared" si="109"/>
        <v>171771918.43401885</v>
      </c>
      <c r="Q225" s="97">
        <f t="shared" si="91"/>
        <v>-6.4136802429591968E-3</v>
      </c>
      <c r="R225" s="97">
        <f t="shared" si="92"/>
        <v>0.11663960549894689</v>
      </c>
      <c r="S225" s="71">
        <f t="shared" si="93"/>
        <v>-0.11663960549894689</v>
      </c>
      <c r="T225" s="98">
        <f t="shared" si="94"/>
        <v>7616.751910557572</v>
      </c>
      <c r="U225" s="99">
        <f t="shared" si="95"/>
        <v>21.395370535274079</v>
      </c>
      <c r="V225" s="93" t="str">
        <f t="shared" si="96"/>
        <v>NO</v>
      </c>
      <c r="W225" s="95">
        <f t="shared" si="97"/>
        <v>-22.551859434456041</v>
      </c>
      <c r="X225" s="95">
        <f t="shared" si="98"/>
        <v>171.77191843401886</v>
      </c>
      <c r="Y225" s="95">
        <f t="shared" si="99"/>
        <v>-171.77191843401886</v>
      </c>
      <c r="Z225" s="95">
        <f t="shared" si="100"/>
        <v>409.07370877166932</v>
      </c>
      <c r="AA225" s="93" t="str">
        <f t="shared" si="101"/>
        <v/>
      </c>
      <c r="AB225" s="100"/>
      <c r="AC225" s="71"/>
      <c r="AD225" s="39"/>
    </row>
    <row r="226" spans="1:30" ht="18.75" x14ac:dyDescent="0.25">
      <c r="A226" s="39"/>
      <c r="B226" s="39"/>
      <c r="C226" s="113">
        <f t="shared" si="104"/>
        <v>-3.5000000000000001E-3</v>
      </c>
      <c r="D226" s="94">
        <f t="shared" si="110"/>
        <v>2.159999999999997E-2</v>
      </c>
      <c r="E226" s="94">
        <f t="shared" si="111"/>
        <v>-3.977528089887682E-4</v>
      </c>
      <c r="F226" s="93" t="s">
        <v>107</v>
      </c>
      <c r="G226" s="95">
        <f t="shared" si="105"/>
        <v>49.641434262948273</v>
      </c>
      <c r="H226" s="115">
        <f t="shared" si="106"/>
        <v>47.033333333333289</v>
      </c>
      <c r="I226" s="115">
        <f t="shared" si="107"/>
        <v>96.141666666666509</v>
      </c>
      <c r="J226" s="115">
        <f t="shared" si="102"/>
        <v>0.80952380952380887</v>
      </c>
      <c r="K226" s="115">
        <f t="shared" si="103"/>
        <v>0.41596638655462226</v>
      </c>
      <c r="L226" s="96">
        <f t="shared" si="88"/>
        <v>-104591.45058334681</v>
      </c>
      <c r="M226" s="116">
        <f t="shared" si="108"/>
        <v>-396916.36122177972</v>
      </c>
      <c r="N226" s="96">
        <f t="shared" si="89"/>
        <v>491727.54577927204</v>
      </c>
      <c r="O226" s="96">
        <f t="shared" si="90"/>
        <v>-9780.2660258545075</v>
      </c>
      <c r="P226" s="116">
        <f t="shared" si="109"/>
        <v>177332060.95868999</v>
      </c>
      <c r="Q226" s="97">
        <f t="shared" si="91"/>
        <v>2.7814779159659624E-3</v>
      </c>
      <c r="R226" s="97">
        <f t="shared" si="92"/>
        <v>0.1204151517960832</v>
      </c>
      <c r="S226" s="71">
        <f t="shared" si="93"/>
        <v>-0.1204151517960832</v>
      </c>
      <c r="T226" s="98">
        <f t="shared" si="94"/>
        <v>-18131.619374146459</v>
      </c>
      <c r="U226" s="99">
        <f t="shared" si="95"/>
        <v>-50.931515095917021</v>
      </c>
      <c r="V226" s="93" t="str">
        <f t="shared" si="96"/>
        <v>NO</v>
      </c>
      <c r="W226" s="95">
        <f t="shared" si="97"/>
        <v>9.7802660258545071</v>
      </c>
      <c r="X226" s="95">
        <f t="shared" si="98"/>
        <v>177.33206095868999</v>
      </c>
      <c r="Y226" s="95">
        <f t="shared" si="99"/>
        <v>-177.33206095868999</v>
      </c>
      <c r="Z226" s="95">
        <f t="shared" si="100"/>
        <v>387.13609519592524</v>
      </c>
      <c r="AA226" s="93" t="str">
        <f t="shared" si="101"/>
        <v/>
      </c>
      <c r="AB226" s="100"/>
      <c r="AC226" s="71"/>
      <c r="AD226" s="39"/>
    </row>
    <row r="227" spans="1:30" ht="18.75" x14ac:dyDescent="0.25">
      <c r="A227" s="39"/>
      <c r="B227" s="39"/>
      <c r="C227" s="113">
        <f t="shared" si="104"/>
        <v>-3.5000000000000001E-3</v>
      </c>
      <c r="D227" s="94">
        <f t="shared" si="110"/>
        <v>2.0924999999999971E-2</v>
      </c>
      <c r="E227" s="94">
        <f t="shared" si="111"/>
        <v>-4.8117977528090272E-4</v>
      </c>
      <c r="F227" s="93" t="s">
        <v>107</v>
      </c>
      <c r="G227" s="95">
        <f t="shared" si="105"/>
        <v>51.01330603889464</v>
      </c>
      <c r="H227" s="115">
        <f t="shared" si="106"/>
        <v>47.033333333333289</v>
      </c>
      <c r="I227" s="115">
        <f t="shared" si="107"/>
        <v>96.141666666666509</v>
      </c>
      <c r="J227" s="115">
        <f t="shared" si="102"/>
        <v>0.80952380952380887</v>
      </c>
      <c r="K227" s="115">
        <f t="shared" si="103"/>
        <v>0.41596638655462226</v>
      </c>
      <c r="L227" s="96">
        <f t="shared" si="88"/>
        <v>-126529.06415909086</v>
      </c>
      <c r="M227" s="116">
        <f t="shared" si="108"/>
        <v>-407885.39065165492</v>
      </c>
      <c r="N227" s="96">
        <f t="shared" si="89"/>
        <v>491727.54577927204</v>
      </c>
      <c r="O227" s="96">
        <f t="shared" si="90"/>
        <v>-42686.90903147374</v>
      </c>
      <c r="P227" s="116">
        <f t="shared" si="109"/>
        <v>182971499.8928529</v>
      </c>
      <c r="Q227" s="97">
        <f t="shared" si="91"/>
        <v>1.2140027117669169E-2</v>
      </c>
      <c r="R227" s="97">
        <f t="shared" si="92"/>
        <v>0.12424454334339151</v>
      </c>
      <c r="S227" s="71">
        <f t="shared" si="93"/>
        <v>-0.12424454334339151</v>
      </c>
      <c r="T227" s="98">
        <f t="shared" si="94"/>
        <v>-4286.3609486914384</v>
      </c>
      <c r="U227" s="99">
        <f t="shared" si="95"/>
        <v>-12.040339743515275</v>
      </c>
      <c r="V227" s="93" t="str">
        <f t="shared" si="96"/>
        <v>NO</v>
      </c>
      <c r="W227" s="95">
        <f t="shared" si="97"/>
        <v>42.686909031473739</v>
      </c>
      <c r="X227" s="95">
        <f t="shared" si="98"/>
        <v>182.9714998928529</v>
      </c>
      <c r="Y227" s="95">
        <f t="shared" si="99"/>
        <v>-182.9714998928529</v>
      </c>
      <c r="Z227" s="95">
        <f t="shared" si="100"/>
        <v>365.19848162018116</v>
      </c>
      <c r="AA227" s="93" t="str">
        <f t="shared" si="101"/>
        <v/>
      </c>
      <c r="AB227" s="100"/>
      <c r="AC227" s="71"/>
      <c r="AD227" s="39"/>
    </row>
    <row r="228" spans="1:30" ht="18.75" x14ac:dyDescent="0.25">
      <c r="A228" s="39"/>
      <c r="B228" s="39"/>
      <c r="C228" s="113">
        <f t="shared" si="104"/>
        <v>-3.5000000000000001E-3</v>
      </c>
      <c r="D228" s="94">
        <f t="shared" si="110"/>
        <v>2.0249999999999973E-2</v>
      </c>
      <c r="E228" s="94">
        <f t="shared" si="111"/>
        <v>-5.646067415730374E-4</v>
      </c>
      <c r="F228" s="93" t="s">
        <v>107</v>
      </c>
      <c r="G228" s="95">
        <f t="shared" si="105"/>
        <v>52.463157894736909</v>
      </c>
      <c r="H228" s="115">
        <f t="shared" si="106"/>
        <v>47.033333333333289</v>
      </c>
      <c r="I228" s="115">
        <f t="shared" si="107"/>
        <v>96.141666666666509</v>
      </c>
      <c r="J228" s="115">
        <f t="shared" si="102"/>
        <v>0.80952380952380887</v>
      </c>
      <c r="K228" s="115">
        <f t="shared" si="103"/>
        <v>0.41596638655462226</v>
      </c>
      <c r="L228" s="96">
        <f t="shared" si="88"/>
        <v>-148466.67773483496</v>
      </c>
      <c r="M228" s="116">
        <f t="shared" si="108"/>
        <v>-419477.92280701769</v>
      </c>
      <c r="N228" s="96">
        <f t="shared" si="89"/>
        <v>491727.54577927204</v>
      </c>
      <c r="O228" s="96">
        <f t="shared" si="90"/>
        <v>-76217.054762580607</v>
      </c>
      <c r="P228" s="116">
        <f t="shared" si="109"/>
        <v>188695927.29960155</v>
      </c>
      <c r="Q228" s="97">
        <f t="shared" si="91"/>
        <v>2.1675898598429395E-2</v>
      </c>
      <c r="R228" s="97">
        <f t="shared" si="92"/>
        <v>0.12813164526620666</v>
      </c>
      <c r="S228" s="71">
        <f t="shared" si="93"/>
        <v>-0.12813164526620666</v>
      </c>
      <c r="T228" s="98">
        <f t="shared" si="94"/>
        <v>-2475.7703887587554</v>
      </c>
      <c r="U228" s="99">
        <f t="shared" si="95"/>
        <v>-6.9544112043785269</v>
      </c>
      <c r="V228" s="93" t="str">
        <f t="shared" si="96"/>
        <v>NO</v>
      </c>
      <c r="W228" s="95">
        <f t="shared" si="97"/>
        <v>76.217054762580602</v>
      </c>
      <c r="X228" s="95">
        <f t="shared" si="98"/>
        <v>188.69592729960155</v>
      </c>
      <c r="Y228" s="95">
        <f t="shared" si="99"/>
        <v>-188.69592729960155</v>
      </c>
      <c r="Z228" s="95">
        <f t="shared" si="100"/>
        <v>343.26086804443707</v>
      </c>
      <c r="AA228" s="93" t="str">
        <f t="shared" si="101"/>
        <v/>
      </c>
      <c r="AB228" s="100"/>
      <c r="AC228" s="71"/>
      <c r="AD228" s="39"/>
    </row>
    <row r="229" spans="1:30" ht="18.75" x14ac:dyDescent="0.25">
      <c r="A229" s="39"/>
      <c r="B229" s="39"/>
      <c r="C229" s="113">
        <f t="shared" si="104"/>
        <v>-3.5000000000000001E-3</v>
      </c>
      <c r="D229" s="94">
        <f t="shared" si="110"/>
        <v>1.9574999999999974E-2</v>
      </c>
      <c r="E229" s="94">
        <f t="shared" si="111"/>
        <v>-6.4803370786517165E-4</v>
      </c>
      <c r="F229" s="93" t="s">
        <v>107</v>
      </c>
      <c r="G229" s="95">
        <f t="shared" si="105"/>
        <v>53.997833152762787</v>
      </c>
      <c r="H229" s="115">
        <f t="shared" si="106"/>
        <v>47.033333333333289</v>
      </c>
      <c r="I229" s="115">
        <f t="shared" si="107"/>
        <v>96.141666666666509</v>
      </c>
      <c r="J229" s="115">
        <f t="shared" si="102"/>
        <v>0.80952380952380887</v>
      </c>
      <c r="K229" s="115">
        <f t="shared" si="103"/>
        <v>0.41596638655462226</v>
      </c>
      <c r="L229" s="96">
        <f t="shared" si="88"/>
        <v>-170404.29131057893</v>
      </c>
      <c r="M229" s="116">
        <f t="shared" si="108"/>
        <v>-431748.67461177328</v>
      </c>
      <c r="N229" s="96">
        <f t="shared" si="89"/>
        <v>491727.54577927204</v>
      </c>
      <c r="O229" s="96">
        <f t="shared" si="90"/>
        <v>-110425.42014308012</v>
      </c>
      <c r="P229" s="116">
        <f t="shared" si="109"/>
        <v>194511572.52659315</v>
      </c>
      <c r="Q229" s="97">
        <f t="shared" si="91"/>
        <v>3.1404653685011066E-2</v>
      </c>
      <c r="R229" s="97">
        <f t="shared" si="92"/>
        <v>0.13208068752632846</v>
      </c>
      <c r="S229" s="71">
        <f t="shared" si="93"/>
        <v>-0.13208068752632846</v>
      </c>
      <c r="T229" s="98">
        <f t="shared" si="94"/>
        <v>-1761.4745977381037</v>
      </c>
      <c r="U229" s="99">
        <f t="shared" si="95"/>
        <v>-4.947962353196921</v>
      </c>
      <c r="V229" s="93" t="str">
        <f t="shared" si="96"/>
        <v>NO</v>
      </c>
      <c r="W229" s="95">
        <f t="shared" si="97"/>
        <v>110.42542014308012</v>
      </c>
      <c r="X229" s="95">
        <f t="shared" si="98"/>
        <v>194.51157252659314</v>
      </c>
      <c r="Y229" s="95">
        <f t="shared" si="99"/>
        <v>-194.51157252659314</v>
      </c>
      <c r="Z229" s="95">
        <f t="shared" si="100"/>
        <v>321.32325446869311</v>
      </c>
      <c r="AA229" s="93" t="str">
        <f t="shared" si="101"/>
        <v/>
      </c>
      <c r="AB229" s="100"/>
      <c r="AC229" s="71"/>
      <c r="AD229" s="39"/>
    </row>
    <row r="230" spans="1:30" ht="18.75" x14ac:dyDescent="0.25">
      <c r="A230" s="39"/>
      <c r="B230" s="39"/>
      <c r="C230" s="113">
        <f t="shared" si="104"/>
        <v>-3.5000000000000001E-3</v>
      </c>
      <c r="D230" s="94">
        <f t="shared" si="110"/>
        <v>1.8899999999999976E-2</v>
      </c>
      <c r="E230" s="94">
        <f t="shared" si="111"/>
        <v>-7.3146067415730623E-4</v>
      </c>
      <c r="F230" s="93" t="s">
        <v>107</v>
      </c>
      <c r="G230" s="95">
        <f t="shared" si="105"/>
        <v>55.625000000000057</v>
      </c>
      <c r="H230" s="115">
        <f t="shared" si="106"/>
        <v>47.033333333333289</v>
      </c>
      <c r="I230" s="115">
        <f t="shared" si="107"/>
        <v>96.141666666666509</v>
      </c>
      <c r="J230" s="115">
        <f t="shared" si="102"/>
        <v>0.80952380952380887</v>
      </c>
      <c r="K230" s="115">
        <f t="shared" si="103"/>
        <v>0.41596638655462226</v>
      </c>
      <c r="L230" s="96">
        <f t="shared" si="88"/>
        <v>-192341.90488632297</v>
      </c>
      <c r="M230" s="116">
        <f t="shared" si="108"/>
        <v>-444758.95833333337</v>
      </c>
      <c r="N230" s="96">
        <f t="shared" si="89"/>
        <v>491727.54577927204</v>
      </c>
      <c r="O230" s="96">
        <f t="shared" si="90"/>
        <v>-145373.31744038424</v>
      </c>
      <c r="P230" s="116">
        <f t="shared" si="109"/>
        <v>200425263.1764372</v>
      </c>
      <c r="Q230" s="97">
        <f t="shared" si="91"/>
        <v>4.1343729399815558E-2</v>
      </c>
      <c r="R230" s="97">
        <f t="shared" si="92"/>
        <v>0.13609630632321332</v>
      </c>
      <c r="S230" s="71">
        <f t="shared" si="93"/>
        <v>-0.13609630632321332</v>
      </c>
      <c r="T230" s="98">
        <f t="shared" si="94"/>
        <v>-1378.693605576065</v>
      </c>
      <c r="U230" s="99">
        <f t="shared" si="95"/>
        <v>-3.8727348471237781</v>
      </c>
      <c r="V230" s="93" t="str">
        <f t="shared" si="96"/>
        <v>NO</v>
      </c>
      <c r="W230" s="95">
        <f t="shared" si="97"/>
        <v>145.37331744038426</v>
      </c>
      <c r="X230" s="95">
        <f t="shared" si="98"/>
        <v>200.4252631764372</v>
      </c>
      <c r="Y230" s="95">
        <f t="shared" si="99"/>
        <v>-200.4252631764372</v>
      </c>
      <c r="Z230" s="95">
        <f t="shared" si="100"/>
        <v>299.38564089294908</v>
      </c>
      <c r="AA230" s="93" t="str">
        <f t="shared" si="101"/>
        <v/>
      </c>
      <c r="AB230" s="100"/>
      <c r="AC230" s="71"/>
      <c r="AD230" s="39"/>
    </row>
    <row r="231" spans="1:30" ht="18.75" x14ac:dyDescent="0.25">
      <c r="A231" s="39"/>
      <c r="B231" s="39"/>
      <c r="C231" s="113">
        <f t="shared" si="104"/>
        <v>-3.5000000000000001E-3</v>
      </c>
      <c r="D231" s="94">
        <f t="shared" si="110"/>
        <v>1.8224999999999977E-2</v>
      </c>
      <c r="E231" s="94">
        <f t="shared" si="111"/>
        <v>-8.1488764044944113E-4</v>
      </c>
      <c r="F231" s="93" t="s">
        <v>107</v>
      </c>
      <c r="G231" s="95">
        <f t="shared" si="105"/>
        <v>57.353279631760707</v>
      </c>
      <c r="H231" s="115">
        <f t="shared" si="106"/>
        <v>47.033333333333289</v>
      </c>
      <c r="I231" s="115">
        <f t="shared" si="107"/>
        <v>96.141666666666509</v>
      </c>
      <c r="J231" s="115">
        <f t="shared" si="102"/>
        <v>0.80952380952380887</v>
      </c>
      <c r="K231" s="115">
        <f t="shared" si="103"/>
        <v>0.41596638655462226</v>
      </c>
      <c r="L231" s="96">
        <f t="shared" si="88"/>
        <v>-214279.51846206715</v>
      </c>
      <c r="M231" s="116">
        <f t="shared" si="108"/>
        <v>-458577.70617568097</v>
      </c>
      <c r="N231" s="96">
        <f t="shared" si="89"/>
        <v>491727.54577927204</v>
      </c>
      <c r="O231" s="96">
        <f t="shared" si="90"/>
        <v>-181129.67885847605</v>
      </c>
      <c r="P231" s="116">
        <f t="shared" si="109"/>
        <v>206444493.6024335</v>
      </c>
      <c r="Q231" s="97">
        <f t="shared" si="91"/>
        <v>5.1512729852032833E-2</v>
      </c>
      <c r="R231" s="97">
        <f t="shared" si="92"/>
        <v>0.14018359060516161</v>
      </c>
      <c r="S231" s="71">
        <f t="shared" si="93"/>
        <v>-0.14018359060516161</v>
      </c>
      <c r="T231" s="98">
        <f t="shared" si="94"/>
        <v>-1139.7607222819456</v>
      </c>
      <c r="U231" s="99">
        <f t="shared" si="95"/>
        <v>-3.2015750625897348</v>
      </c>
      <c r="V231" s="93" t="str">
        <f t="shared" si="96"/>
        <v>NO</v>
      </c>
      <c r="W231" s="95">
        <f t="shared" si="97"/>
        <v>181.12967885847604</v>
      </c>
      <c r="X231" s="95">
        <f t="shared" si="98"/>
        <v>206.44449360243351</v>
      </c>
      <c r="Y231" s="95">
        <f t="shared" si="99"/>
        <v>-206.44449360243351</v>
      </c>
      <c r="Z231" s="95">
        <f t="shared" si="100"/>
        <v>277.44802731720489</v>
      </c>
      <c r="AA231" s="93" t="str">
        <f t="shared" si="101"/>
        <v/>
      </c>
      <c r="AB231" s="100"/>
      <c r="AC231" s="71"/>
      <c r="AD231" s="39"/>
    </row>
    <row r="232" spans="1:30" ht="18.75" x14ac:dyDescent="0.25">
      <c r="A232" s="39"/>
      <c r="B232" s="39"/>
      <c r="C232" s="113">
        <f t="shared" si="104"/>
        <v>-3.5000000000000001E-3</v>
      </c>
      <c r="D232" s="94">
        <f t="shared" si="110"/>
        <v>1.7549999999999979E-2</v>
      </c>
      <c r="E232" s="94">
        <f t="shared" si="111"/>
        <v>-8.9831460674157581E-4</v>
      </c>
      <c r="F232" s="93" t="s">
        <v>107</v>
      </c>
      <c r="G232" s="95">
        <f t="shared" si="105"/>
        <v>59.192399049881296</v>
      </c>
      <c r="H232" s="115">
        <f t="shared" si="106"/>
        <v>47.033333333333289</v>
      </c>
      <c r="I232" s="115">
        <f t="shared" si="107"/>
        <v>96.141666666666509</v>
      </c>
      <c r="J232" s="115">
        <f t="shared" si="102"/>
        <v>0.80952380952380887</v>
      </c>
      <c r="K232" s="115">
        <f t="shared" si="103"/>
        <v>0.41596638655462226</v>
      </c>
      <c r="L232" s="96">
        <f t="shared" si="88"/>
        <v>-236217.13203781121</v>
      </c>
      <c r="M232" s="116">
        <f t="shared" si="108"/>
        <v>-473282.69200316712</v>
      </c>
      <c r="N232" s="96">
        <f t="shared" si="89"/>
        <v>491727.54577927204</v>
      </c>
      <c r="O232" s="96">
        <f t="shared" si="90"/>
        <v>-217772.27826170629</v>
      </c>
      <c r="P232" s="116">
        <f t="shared" si="109"/>
        <v>212577501.72906208</v>
      </c>
      <c r="Q232" s="97">
        <f t="shared" si="91"/>
        <v>6.1933773692173941E-2</v>
      </c>
      <c r="R232" s="97">
        <f t="shared" si="92"/>
        <v>0.14434813423332499</v>
      </c>
      <c r="S232" s="71">
        <f t="shared" si="93"/>
        <v>-0.14434813423332499</v>
      </c>
      <c r="T232" s="98">
        <f t="shared" si="94"/>
        <v>-976.14583190243604</v>
      </c>
      <c r="U232" s="99">
        <f t="shared" si="95"/>
        <v>-2.7419826738832471</v>
      </c>
      <c r="V232" s="93" t="str">
        <f t="shared" si="96"/>
        <v>NO</v>
      </c>
      <c r="W232" s="95">
        <f t="shared" si="97"/>
        <v>217.7722782617063</v>
      </c>
      <c r="X232" s="95">
        <f t="shared" si="98"/>
        <v>212.57750172906208</v>
      </c>
      <c r="Y232" s="95">
        <f t="shared" si="99"/>
        <v>-212.57750172906208</v>
      </c>
      <c r="Z232" s="95">
        <f t="shared" si="100"/>
        <v>255.51041374146084</v>
      </c>
      <c r="AA232" s="93" t="str">
        <f t="shared" si="101"/>
        <v/>
      </c>
      <c r="AB232" s="100"/>
      <c r="AC232" s="71"/>
      <c r="AD232" s="39"/>
    </row>
    <row r="233" spans="1:30" ht="18.75" x14ac:dyDescent="0.25">
      <c r="A233" s="39"/>
      <c r="B233" s="39"/>
      <c r="C233" s="113">
        <f t="shared" si="104"/>
        <v>-3.5000000000000001E-3</v>
      </c>
      <c r="D233" s="94">
        <f t="shared" si="110"/>
        <v>1.687499999999998E-2</v>
      </c>
      <c r="E233" s="94">
        <f t="shared" si="111"/>
        <v>-9.8174157303371028E-4</v>
      </c>
      <c r="F233" s="93" t="s">
        <v>107</v>
      </c>
      <c r="G233" s="95">
        <f t="shared" si="105"/>
        <v>61.153374233128893</v>
      </c>
      <c r="H233" s="115">
        <f t="shared" si="106"/>
        <v>47.033333333333289</v>
      </c>
      <c r="I233" s="115">
        <f t="shared" si="107"/>
        <v>96.141666666666509</v>
      </c>
      <c r="J233" s="115">
        <f t="shared" si="102"/>
        <v>0.80952380952380887</v>
      </c>
      <c r="K233" s="115">
        <f t="shared" si="103"/>
        <v>0.41596638655462226</v>
      </c>
      <c r="L233" s="96">
        <f t="shared" si="88"/>
        <v>-258154.74561355525</v>
      </c>
      <c r="M233" s="116">
        <f t="shared" si="108"/>
        <v>-488961.99591002049</v>
      </c>
      <c r="N233" s="96">
        <f t="shared" si="89"/>
        <v>491727.54577927204</v>
      </c>
      <c r="O233" s="96">
        <f t="shared" si="90"/>
        <v>-255389.1957443037</v>
      </c>
      <c r="P233" s="116">
        <f t="shared" si="109"/>
        <v>218833354.9648658</v>
      </c>
      <c r="Q233" s="97">
        <f t="shared" si="91"/>
        <v>7.2631910631185986E-2</v>
      </c>
      <c r="R233" s="97">
        <f t="shared" si="92"/>
        <v>0.14859609431979129</v>
      </c>
      <c r="S233" s="71">
        <f t="shared" si="93"/>
        <v>-0.14859609431979129</v>
      </c>
      <c r="T233" s="98">
        <f t="shared" si="94"/>
        <v>-856.86222679506898</v>
      </c>
      <c r="U233" s="99">
        <f t="shared" si="95"/>
        <v>-2.406916367401879</v>
      </c>
      <c r="V233" s="93" t="str">
        <f t="shared" si="96"/>
        <v>NO</v>
      </c>
      <c r="W233" s="95">
        <f t="shared" si="97"/>
        <v>255.38919574430369</v>
      </c>
      <c r="X233" s="95">
        <f t="shared" si="98"/>
        <v>218.8333549648658</v>
      </c>
      <c r="Y233" s="95">
        <f t="shared" si="99"/>
        <v>-218.8333549648658</v>
      </c>
      <c r="Z233" s="95">
        <f t="shared" si="100"/>
        <v>233.57280016571679</v>
      </c>
      <c r="AA233" s="93" t="str">
        <f t="shared" si="101"/>
        <v/>
      </c>
      <c r="AB233" s="100"/>
      <c r="AC233" s="71"/>
      <c r="AD233" s="39"/>
    </row>
    <row r="234" spans="1:30" ht="18.75" x14ac:dyDescent="0.25">
      <c r="A234" s="39"/>
      <c r="B234" s="39"/>
      <c r="C234" s="113">
        <f t="shared" si="104"/>
        <v>-3.5000000000000001E-3</v>
      </c>
      <c r="D234" s="94">
        <f t="shared" si="110"/>
        <v>1.6199999999999982E-2</v>
      </c>
      <c r="E234" s="94">
        <f t="shared" si="111"/>
        <v>-1.0651685393258451E-3</v>
      </c>
      <c r="F234" s="93" t="s">
        <v>107</v>
      </c>
      <c r="G234" s="95">
        <f t="shared" si="105"/>
        <v>63.248730964467065</v>
      </c>
      <c r="H234" s="115">
        <f t="shared" si="106"/>
        <v>47.033333333333289</v>
      </c>
      <c r="I234" s="115">
        <f t="shared" si="107"/>
        <v>96.141666666666509</v>
      </c>
      <c r="J234" s="115">
        <f t="shared" si="102"/>
        <v>0.80952380952380887</v>
      </c>
      <c r="K234" s="115">
        <f t="shared" si="103"/>
        <v>0.41596638655462226</v>
      </c>
      <c r="L234" s="96">
        <f t="shared" si="88"/>
        <v>-280092.35918929934</v>
      </c>
      <c r="M234" s="116">
        <f t="shared" si="108"/>
        <v>-505715.76988155674</v>
      </c>
      <c r="N234" s="96">
        <f t="shared" si="89"/>
        <v>491727.54577927204</v>
      </c>
      <c r="O234" s="96">
        <f t="shared" si="90"/>
        <v>-294080.5832915841</v>
      </c>
      <c r="P234" s="116">
        <f t="shared" si="109"/>
        <v>225222045.85609955</v>
      </c>
      <c r="Q234" s="97">
        <f t="shared" si="91"/>
        <v>8.3635623589130612E-2</v>
      </c>
      <c r="R234" s="97">
        <f t="shared" si="92"/>
        <v>0.15293425618001674</v>
      </c>
      <c r="S234" s="71">
        <f t="shared" si="93"/>
        <v>-0.15293425618001674</v>
      </c>
      <c r="T234" s="98">
        <f t="shared" si="94"/>
        <v>-765.85146606836474</v>
      </c>
      <c r="U234" s="99">
        <f t="shared" si="95"/>
        <v>-2.1512681631133841</v>
      </c>
      <c r="V234" s="93" t="str">
        <f t="shared" si="96"/>
        <v>NO</v>
      </c>
      <c r="W234" s="95">
        <f t="shared" si="97"/>
        <v>294.08058329158411</v>
      </c>
      <c r="X234" s="95">
        <f t="shared" si="98"/>
        <v>225.22204585609956</v>
      </c>
      <c r="Y234" s="95">
        <f t="shared" si="99"/>
        <v>-225.22204585609956</v>
      </c>
      <c r="Z234" s="95">
        <f t="shared" si="100"/>
        <v>211.6351865899727</v>
      </c>
      <c r="AA234" s="93" t="str">
        <f t="shared" si="101"/>
        <v/>
      </c>
      <c r="AB234" s="100"/>
      <c r="AC234" s="71"/>
      <c r="AD234" s="39"/>
    </row>
    <row r="235" spans="1:30" ht="18.75" x14ac:dyDescent="0.25">
      <c r="A235" s="39"/>
      <c r="B235" s="39"/>
      <c r="C235" s="113">
        <f t="shared" si="104"/>
        <v>-3.5000000000000001E-3</v>
      </c>
      <c r="D235" s="94">
        <f t="shared" si="110"/>
        <v>1.5524999999999982E-2</v>
      </c>
      <c r="E235" s="94">
        <f t="shared" si="111"/>
        <v>-1.1485955056179796E-3</v>
      </c>
      <c r="F235" s="93" t="s">
        <v>107</v>
      </c>
      <c r="G235" s="95">
        <f t="shared" si="105"/>
        <v>65.492772667542766</v>
      </c>
      <c r="H235" s="115">
        <f t="shared" si="106"/>
        <v>47.033333333333289</v>
      </c>
      <c r="I235" s="115">
        <f t="shared" si="107"/>
        <v>96.141666666666509</v>
      </c>
      <c r="J235" s="115">
        <f t="shared" si="102"/>
        <v>0.80952380952380887</v>
      </c>
      <c r="K235" s="115">
        <f t="shared" si="103"/>
        <v>0.41596638655462226</v>
      </c>
      <c r="L235" s="96">
        <f t="shared" si="88"/>
        <v>-302029.97276504344</v>
      </c>
      <c r="M235" s="116">
        <f t="shared" si="108"/>
        <v>-523658.379325449</v>
      </c>
      <c r="N235" s="96">
        <f t="shared" si="89"/>
        <v>491727.54577927204</v>
      </c>
      <c r="O235" s="96">
        <f t="shared" si="90"/>
        <v>-333960.80631122034</v>
      </c>
      <c r="P235" s="116">
        <f t="shared" si="109"/>
        <v>231754597.86316729</v>
      </c>
      <c r="Q235" s="97">
        <f t="shared" si="91"/>
        <v>9.4977437740164802E-2</v>
      </c>
      <c r="R235" s="97">
        <f t="shared" si="92"/>
        <v>0.15737010515901279</v>
      </c>
      <c r="S235" s="71">
        <f t="shared" si="93"/>
        <v>-0.15737010515901279</v>
      </c>
      <c r="T235" s="98">
        <f t="shared" si="94"/>
        <v>-693.95747489959524</v>
      </c>
      <c r="U235" s="99">
        <f t="shared" si="95"/>
        <v>-1.9493187497179643</v>
      </c>
      <c r="V235" s="93" t="str">
        <f t="shared" si="96"/>
        <v>NO</v>
      </c>
      <c r="W235" s="95">
        <f t="shared" si="97"/>
        <v>333.96080631122032</v>
      </c>
      <c r="X235" s="95">
        <f t="shared" si="98"/>
        <v>231.75459786316728</v>
      </c>
      <c r="Y235" s="95">
        <f t="shared" si="99"/>
        <v>-231.75459786316728</v>
      </c>
      <c r="Z235" s="95">
        <f t="shared" si="100"/>
        <v>189.6975730142286</v>
      </c>
      <c r="AA235" s="93" t="str">
        <f t="shared" si="101"/>
        <v/>
      </c>
      <c r="AB235" s="100"/>
      <c r="AC235" s="71"/>
      <c r="AD235" s="39"/>
    </row>
    <row r="236" spans="1:30" ht="18.75" x14ac:dyDescent="0.25">
      <c r="A236" s="39"/>
      <c r="B236" s="39"/>
      <c r="C236" s="113">
        <f t="shared" si="104"/>
        <v>-3.5000000000000001E-3</v>
      </c>
      <c r="D236" s="94">
        <f t="shared" si="110"/>
        <v>1.4849999999999981E-2</v>
      </c>
      <c r="E236" s="94">
        <f t="shared" si="111"/>
        <v>-1.2320224719101147E-3</v>
      </c>
      <c r="F236" s="93" t="s">
        <v>107</v>
      </c>
      <c r="G236" s="95">
        <f t="shared" si="105"/>
        <v>67.9019073569483</v>
      </c>
      <c r="H236" s="115">
        <f t="shared" si="106"/>
        <v>47.033333333333289</v>
      </c>
      <c r="I236" s="115">
        <f t="shared" si="107"/>
        <v>96.141666666666509</v>
      </c>
      <c r="J236" s="115">
        <f t="shared" si="102"/>
        <v>0.80952380952380887</v>
      </c>
      <c r="K236" s="115">
        <f t="shared" si="103"/>
        <v>0.41596638655462226</v>
      </c>
      <c r="L236" s="96">
        <f t="shared" si="88"/>
        <v>-323967.58634078759</v>
      </c>
      <c r="M236" s="116">
        <f t="shared" si="108"/>
        <v>-542921.0172570392</v>
      </c>
      <c r="N236" s="96">
        <f t="shared" si="89"/>
        <v>491727.54577927204</v>
      </c>
      <c r="O236" s="96">
        <f t="shared" si="90"/>
        <v>-375161.05781855475</v>
      </c>
      <c r="P236" s="116">
        <f t="shared" si="109"/>
        <v>238443181.13274133</v>
      </c>
      <c r="Q236" s="97">
        <f t="shared" si="91"/>
        <v>0.10669466397889399</v>
      </c>
      <c r="R236" s="97">
        <f t="shared" si="92"/>
        <v>0.16191190524497762</v>
      </c>
      <c r="S236" s="71">
        <f t="shared" si="93"/>
        <v>-0.16191190524497762</v>
      </c>
      <c r="T236" s="98">
        <f t="shared" si="94"/>
        <v>-635.5755112729837</v>
      </c>
      <c r="U236" s="99">
        <f t="shared" si="95"/>
        <v>-1.7853244698679318</v>
      </c>
      <c r="V236" s="93" t="str">
        <f t="shared" si="96"/>
        <v>NO</v>
      </c>
      <c r="W236" s="95">
        <f t="shared" si="97"/>
        <v>375.16105781855475</v>
      </c>
      <c r="X236" s="95">
        <f t="shared" si="98"/>
        <v>238.44318113274133</v>
      </c>
      <c r="Y236" s="95">
        <f t="shared" si="99"/>
        <v>-238.44318113274133</v>
      </c>
      <c r="Z236" s="95">
        <f t="shared" si="100"/>
        <v>167.75995943848446</v>
      </c>
      <c r="AA236" s="93" t="str">
        <f t="shared" si="101"/>
        <v/>
      </c>
      <c r="AB236" s="100"/>
      <c r="AC236" s="71"/>
      <c r="AD236" s="39"/>
    </row>
    <row r="237" spans="1:30" ht="18.75" x14ac:dyDescent="0.25">
      <c r="A237" s="39"/>
      <c r="B237" s="39"/>
      <c r="C237" s="113">
        <f t="shared" si="104"/>
        <v>-3.5000000000000001E-3</v>
      </c>
      <c r="D237" s="94">
        <f t="shared" si="110"/>
        <v>1.4174999999999981E-2</v>
      </c>
      <c r="E237" s="94">
        <f t="shared" si="111"/>
        <v>-1.3154494382022497E-3</v>
      </c>
      <c r="F237" s="93" t="s">
        <v>107</v>
      </c>
      <c r="G237" s="95">
        <f t="shared" si="105"/>
        <v>70.495049504950572</v>
      </c>
      <c r="H237" s="115">
        <f t="shared" si="106"/>
        <v>47.033333333333289</v>
      </c>
      <c r="I237" s="115">
        <f t="shared" si="107"/>
        <v>96.141666666666509</v>
      </c>
      <c r="J237" s="115">
        <f t="shared" si="102"/>
        <v>0.80952380952380887</v>
      </c>
      <c r="K237" s="115">
        <f t="shared" si="103"/>
        <v>0.41596638655462226</v>
      </c>
      <c r="L237" s="96">
        <f t="shared" si="88"/>
        <v>-345905.19991653174</v>
      </c>
      <c r="M237" s="116">
        <f t="shared" si="108"/>
        <v>-563654.91749174928</v>
      </c>
      <c r="N237" s="96">
        <f t="shared" si="89"/>
        <v>491727.54577927204</v>
      </c>
      <c r="O237" s="96">
        <f t="shared" si="90"/>
        <v>-417832.57162900892</v>
      </c>
      <c r="P237" s="116">
        <f t="shared" si="109"/>
        <v>245301237.23255301</v>
      </c>
      <c r="Q237" s="97">
        <f t="shared" si="91"/>
        <v>0.11883031274252207</v>
      </c>
      <c r="R237" s="97">
        <f t="shared" si="92"/>
        <v>0.16656878376891951</v>
      </c>
      <c r="S237" s="71">
        <f t="shared" si="93"/>
        <v>-0.16656878376891951</v>
      </c>
      <c r="T237" s="98">
        <f t="shared" si="94"/>
        <v>-587.08021798347147</v>
      </c>
      <c r="U237" s="99">
        <f t="shared" si="95"/>
        <v>-1.6491017359086277</v>
      </c>
      <c r="V237" s="93" t="str">
        <f t="shared" si="96"/>
        <v>NO</v>
      </c>
      <c r="W237" s="95">
        <f t="shared" si="97"/>
        <v>417.8325716290089</v>
      </c>
      <c r="X237" s="95">
        <f t="shared" si="98"/>
        <v>245.30123723255301</v>
      </c>
      <c r="Y237" s="95">
        <f t="shared" si="99"/>
        <v>-245.30123723255301</v>
      </c>
      <c r="Z237" s="95">
        <f t="shared" si="100"/>
        <v>145.82234586274029</v>
      </c>
      <c r="AA237" s="93" t="str">
        <f t="shared" si="101"/>
        <v/>
      </c>
      <c r="AB237" s="100"/>
      <c r="AC237" s="71"/>
      <c r="AD237" s="39"/>
    </row>
    <row r="238" spans="1:30" ht="18.75" x14ac:dyDescent="0.25">
      <c r="A238" s="39"/>
      <c r="B238" s="39"/>
      <c r="C238" s="113">
        <f t="shared" si="104"/>
        <v>-3.5000000000000001E-3</v>
      </c>
      <c r="D238" s="94">
        <f t="shared" si="110"/>
        <v>1.3499999999999981E-2</v>
      </c>
      <c r="E238" s="94">
        <f t="shared" si="111"/>
        <v>-1.3988764044943847E-3</v>
      </c>
      <c r="F238" s="93" t="s">
        <v>107</v>
      </c>
      <c r="G238" s="95">
        <f t="shared" si="105"/>
        <v>73.294117647058911</v>
      </c>
      <c r="H238" s="115">
        <f t="shared" si="106"/>
        <v>47.033333333333289</v>
      </c>
      <c r="I238" s="115">
        <f t="shared" si="107"/>
        <v>96.141666666666509</v>
      </c>
      <c r="J238" s="115">
        <f t="shared" si="102"/>
        <v>0.80952380952380887</v>
      </c>
      <c r="K238" s="115">
        <f t="shared" si="103"/>
        <v>0.41596638655462226</v>
      </c>
      <c r="L238" s="96">
        <f t="shared" si="88"/>
        <v>-367842.81349227595</v>
      </c>
      <c r="M238" s="116">
        <f t="shared" si="108"/>
        <v>-586035.33333333349</v>
      </c>
      <c r="N238" s="96">
        <f t="shared" si="89"/>
        <v>491727.54577927204</v>
      </c>
      <c r="O238" s="96">
        <f t="shared" si="90"/>
        <v>-462150.60104633746</v>
      </c>
      <c r="P238" s="116">
        <f t="shared" si="109"/>
        <v>252343610.26406103</v>
      </c>
      <c r="Q238" s="97">
        <f t="shared" si="91"/>
        <v>0.13143422553769157</v>
      </c>
      <c r="R238" s="97">
        <f t="shared" si="92"/>
        <v>0.17135082043509928</v>
      </c>
      <c r="S238" s="71">
        <f t="shared" si="93"/>
        <v>-0.17135082043509928</v>
      </c>
      <c r="T238" s="98">
        <f t="shared" si="94"/>
        <v>-546.02030094246231</v>
      </c>
      <c r="U238" s="99">
        <f t="shared" si="95"/>
        <v>-1.5337648902878156</v>
      </c>
      <c r="V238" s="93" t="str">
        <f t="shared" si="96"/>
        <v>NO</v>
      </c>
      <c r="W238" s="95">
        <f t="shared" si="97"/>
        <v>462.15060104633744</v>
      </c>
      <c r="X238" s="95">
        <f t="shared" si="98"/>
        <v>252.34361026406103</v>
      </c>
      <c r="Y238" s="95">
        <f t="shared" si="99"/>
        <v>-252.34361026406103</v>
      </c>
      <c r="Z238" s="95">
        <f t="shared" si="100"/>
        <v>123.8847322869961</v>
      </c>
      <c r="AA238" s="93" t="str">
        <f t="shared" si="101"/>
        <v/>
      </c>
      <c r="AB238" s="100"/>
      <c r="AC238" s="71"/>
      <c r="AD238" s="39"/>
    </row>
    <row r="239" spans="1:30" ht="18.75" x14ac:dyDescent="0.25">
      <c r="A239" s="39"/>
      <c r="B239" s="39"/>
      <c r="C239" s="113">
        <f t="shared" si="104"/>
        <v>-3.5000000000000001E-3</v>
      </c>
      <c r="D239" s="94">
        <f t="shared" si="110"/>
        <v>1.2824999999999981E-2</v>
      </c>
      <c r="E239" s="94">
        <f t="shared" si="111"/>
        <v>-1.4823033707865195E-3</v>
      </c>
      <c r="F239" s="93" t="s">
        <v>107</v>
      </c>
      <c r="G239" s="95">
        <f t="shared" si="105"/>
        <v>76.324655436447259</v>
      </c>
      <c r="H239" s="115">
        <f t="shared" si="106"/>
        <v>47.033333333333289</v>
      </c>
      <c r="I239" s="115">
        <f t="shared" si="107"/>
        <v>96.141666666666509</v>
      </c>
      <c r="J239" s="115">
        <f t="shared" si="102"/>
        <v>0.80952380952380887</v>
      </c>
      <c r="K239" s="115">
        <f t="shared" si="103"/>
        <v>0.41596638655462226</v>
      </c>
      <c r="L239" s="96">
        <f t="shared" si="88"/>
        <v>-389780.42706801998</v>
      </c>
      <c r="M239" s="116">
        <f t="shared" si="108"/>
        <v>-610266.50331801956</v>
      </c>
      <c r="N239" s="96">
        <f t="shared" si="89"/>
        <v>491727.54577927204</v>
      </c>
      <c r="O239" s="96">
        <f t="shared" si="90"/>
        <v>-508319.3846067675</v>
      </c>
      <c r="P239" s="116">
        <f t="shared" si="109"/>
        <v>259586679.16476989</v>
      </c>
      <c r="Q239" s="97">
        <f t="shared" si="91"/>
        <v>0.14456448718301615</v>
      </c>
      <c r="R239" s="97">
        <f t="shared" si="92"/>
        <v>0.17626913715929007</v>
      </c>
      <c r="S239" s="71">
        <f t="shared" si="93"/>
        <v>-0.17626913715929007</v>
      </c>
      <c r="T239" s="98">
        <f t="shared" si="94"/>
        <v>-510.67633268714394</v>
      </c>
      <c r="U239" s="99">
        <f t="shared" si="95"/>
        <v>-1.4344840805818651</v>
      </c>
      <c r="V239" s="93" t="str">
        <f t="shared" si="96"/>
        <v>NO</v>
      </c>
      <c r="W239" s="95">
        <f t="shared" si="97"/>
        <v>508.31938460676753</v>
      </c>
      <c r="X239" s="95">
        <f t="shared" si="98"/>
        <v>259.58667916476986</v>
      </c>
      <c r="Y239" s="95">
        <f t="shared" si="99"/>
        <v>-259.58667916476986</v>
      </c>
      <c r="Z239" s="95">
        <f t="shared" si="100"/>
        <v>101.94711871125206</v>
      </c>
      <c r="AA239" s="93" t="str">
        <f t="shared" si="101"/>
        <v/>
      </c>
      <c r="AB239" s="100"/>
      <c r="AC239" s="71"/>
      <c r="AD239" s="39"/>
    </row>
    <row r="240" spans="1:30" ht="18.75" x14ac:dyDescent="0.25">
      <c r="A240" s="39"/>
      <c r="B240" s="39"/>
      <c r="C240" s="113">
        <f t="shared" si="104"/>
        <v>-3.5000000000000001E-3</v>
      </c>
      <c r="D240" s="94">
        <f t="shared" si="110"/>
        <v>1.214999999999998E-2</v>
      </c>
      <c r="E240" s="94">
        <f t="shared" si="111"/>
        <v>-1.5657303370786543E-3</v>
      </c>
      <c r="F240" s="93" t="s">
        <v>107</v>
      </c>
      <c r="G240" s="95">
        <f t="shared" si="105"/>
        <v>79.616613418530463</v>
      </c>
      <c r="H240" s="115">
        <f t="shared" si="106"/>
        <v>47.033333333333289</v>
      </c>
      <c r="I240" s="115">
        <f t="shared" si="107"/>
        <v>96.141666666666509</v>
      </c>
      <c r="J240" s="115">
        <f t="shared" si="102"/>
        <v>0.80952380952380887</v>
      </c>
      <c r="K240" s="115">
        <f t="shared" si="103"/>
        <v>0.41596638655462226</v>
      </c>
      <c r="L240" s="96">
        <f t="shared" si="88"/>
        <v>-411718.04064376419</v>
      </c>
      <c r="M240" s="116">
        <f t="shared" si="108"/>
        <v>-636587.90202342952</v>
      </c>
      <c r="N240" s="96">
        <f t="shared" si="89"/>
        <v>491727.54577927204</v>
      </c>
      <c r="O240" s="96">
        <f t="shared" si="90"/>
        <v>-556578.39688792173</v>
      </c>
      <c r="P240" s="116">
        <f t="shared" si="109"/>
        <v>267048481.68996549</v>
      </c>
      <c r="Q240" s="97">
        <f t="shared" si="91"/>
        <v>0.15828920352012957</v>
      </c>
      <c r="R240" s="97">
        <f t="shared" si="92"/>
        <v>0.18133598225704786</v>
      </c>
      <c r="S240" s="71">
        <f t="shared" si="93"/>
        <v>-0.18133598225704786</v>
      </c>
      <c r="T240" s="98">
        <f t="shared" si="94"/>
        <v>-479.80389318585264</v>
      </c>
      <c r="U240" s="99">
        <f t="shared" si="95"/>
        <v>-1.3477637449040805</v>
      </c>
      <c r="V240" s="93" t="str">
        <f t="shared" si="96"/>
        <v>NO</v>
      </c>
      <c r="W240" s="95">
        <f t="shared" si="97"/>
        <v>556.57839688792171</v>
      </c>
      <c r="X240" s="95">
        <f t="shared" si="98"/>
        <v>267.04848168996551</v>
      </c>
      <c r="Y240" s="95">
        <f t="shared" si="99"/>
        <v>-267.04848168996551</v>
      </c>
      <c r="Z240" s="95">
        <f t="shared" si="100"/>
        <v>80.009505135507851</v>
      </c>
      <c r="AA240" s="93" t="str">
        <f t="shared" si="101"/>
        <v/>
      </c>
      <c r="AB240" s="100"/>
      <c r="AC240" s="71"/>
      <c r="AD240" s="39"/>
    </row>
    <row r="241" spans="1:30" ht="18.75" x14ac:dyDescent="0.25">
      <c r="A241" s="39"/>
      <c r="B241" s="39"/>
      <c r="C241" s="113">
        <f t="shared" si="104"/>
        <v>-3.5000000000000001E-3</v>
      </c>
      <c r="D241" s="94">
        <f t="shared" si="110"/>
        <v>1.147499999999998E-2</v>
      </c>
      <c r="E241" s="94">
        <f t="shared" si="111"/>
        <v>-1.6491573033707893E-3</v>
      </c>
      <c r="F241" s="93" t="s">
        <v>107</v>
      </c>
      <c r="G241" s="95">
        <f t="shared" si="105"/>
        <v>83.205342237061885</v>
      </c>
      <c r="H241" s="115">
        <f t="shared" si="106"/>
        <v>47.033333333333289</v>
      </c>
      <c r="I241" s="115">
        <f t="shared" si="107"/>
        <v>96.141666666666509</v>
      </c>
      <c r="J241" s="115">
        <f t="shared" si="102"/>
        <v>0.80952380952380887</v>
      </c>
      <c r="K241" s="115">
        <f t="shared" si="103"/>
        <v>0.41596638655462226</v>
      </c>
      <c r="L241" s="96">
        <f t="shared" si="88"/>
        <v>-433655.65421950835</v>
      </c>
      <c r="M241" s="116">
        <f t="shared" si="108"/>
        <v>-665282.18141346727</v>
      </c>
      <c r="N241" s="96">
        <f t="shared" si="89"/>
        <v>491727.54577927204</v>
      </c>
      <c r="O241" s="96">
        <f t="shared" si="90"/>
        <v>-607210.2898537037</v>
      </c>
      <c r="P241" s="116">
        <f t="shared" si="109"/>
        <v>274748813.41489679</v>
      </c>
      <c r="Q241" s="97">
        <f t="shared" si="91"/>
        <v>0.17268875990802141</v>
      </c>
      <c r="R241" s="97">
        <f t="shared" si="92"/>
        <v>0.18656479766992351</v>
      </c>
      <c r="S241" s="71">
        <f t="shared" si="93"/>
        <v>-0.18656479766992351</v>
      </c>
      <c r="T241" s="98">
        <f t="shared" si="94"/>
        <v>-452.47720271850551</v>
      </c>
      <c r="U241" s="99">
        <f t="shared" si="95"/>
        <v>-1.2710033784227683</v>
      </c>
      <c r="V241" s="93" t="str">
        <f t="shared" si="96"/>
        <v>NO</v>
      </c>
      <c r="W241" s="95">
        <f t="shared" si="97"/>
        <v>607.21028985370367</v>
      </c>
      <c r="X241" s="95">
        <f t="shared" si="98"/>
        <v>274.7488134148968</v>
      </c>
      <c r="Y241" s="95">
        <f t="shared" si="99"/>
        <v>-274.7488134148968</v>
      </c>
      <c r="Z241" s="95">
        <f t="shared" si="100"/>
        <v>58.071891559763692</v>
      </c>
      <c r="AA241" s="93" t="str">
        <f t="shared" si="101"/>
        <v/>
      </c>
      <c r="AB241" s="100"/>
      <c r="AC241" s="71"/>
      <c r="AD241" s="39"/>
    </row>
    <row r="242" spans="1:30" ht="18.75" x14ac:dyDescent="0.25">
      <c r="A242" s="39"/>
      <c r="B242" s="39"/>
      <c r="C242" s="113">
        <f t="shared" si="104"/>
        <v>-3.5000000000000001E-3</v>
      </c>
      <c r="D242" s="94">
        <f t="shared" si="110"/>
        <v>1.079999999999998E-2</v>
      </c>
      <c r="E242" s="94">
        <f t="shared" si="111"/>
        <v>-1.7325842696629238E-3</v>
      </c>
      <c r="F242" s="93" t="s">
        <v>107</v>
      </c>
      <c r="G242" s="95">
        <f t="shared" si="105"/>
        <v>87.132867132867261</v>
      </c>
      <c r="H242" s="115">
        <f t="shared" si="106"/>
        <v>47.033333333333289</v>
      </c>
      <c r="I242" s="115">
        <f t="shared" si="107"/>
        <v>96.141666666666509</v>
      </c>
      <c r="J242" s="115">
        <f t="shared" si="102"/>
        <v>0.80952380952380887</v>
      </c>
      <c r="K242" s="115">
        <f t="shared" si="103"/>
        <v>0.41596638655462226</v>
      </c>
      <c r="L242" s="96">
        <f t="shared" si="88"/>
        <v>-455593.26779525244</v>
      </c>
      <c r="M242" s="116">
        <f t="shared" si="108"/>
        <v>-696685.36130536173</v>
      </c>
      <c r="N242" s="96">
        <f t="shared" si="89"/>
        <v>491727.54577927204</v>
      </c>
      <c r="O242" s="96">
        <f t="shared" si="90"/>
        <v>-660551.08332134224</v>
      </c>
      <c r="P242" s="116">
        <f t="shared" si="109"/>
        <v>282709273.25807995</v>
      </c>
      <c r="Q242" s="97">
        <f t="shared" si="91"/>
        <v>0.18785871936087536</v>
      </c>
      <c r="R242" s="97">
        <f t="shared" si="92"/>
        <v>0.19197024987750161</v>
      </c>
      <c r="S242" s="71">
        <f t="shared" si="93"/>
        <v>-0.19197024987750161</v>
      </c>
      <c r="T242" s="98">
        <f t="shared" si="94"/>
        <v>-427.99002287087109</v>
      </c>
      <c r="U242" s="99">
        <f t="shared" si="95"/>
        <v>-1.2022191653676153</v>
      </c>
      <c r="V242" s="93" t="str">
        <f t="shared" si="96"/>
        <v>NO</v>
      </c>
      <c r="W242" s="95">
        <f t="shared" si="97"/>
        <v>660.55108332134228</v>
      </c>
      <c r="X242" s="95">
        <f t="shared" si="98"/>
        <v>282.70927325807992</v>
      </c>
      <c r="Y242" s="95">
        <f t="shared" si="99"/>
        <v>-282.70927325807992</v>
      </c>
      <c r="Z242" s="95">
        <f t="shared" si="100"/>
        <v>36.134277984019604</v>
      </c>
      <c r="AA242" s="93" t="str">
        <f t="shared" si="101"/>
        <v/>
      </c>
      <c r="AB242" s="100"/>
      <c r="AC242" s="71"/>
      <c r="AD242" s="39"/>
    </row>
    <row r="243" spans="1:30" ht="18.75" x14ac:dyDescent="0.25">
      <c r="A243" s="39"/>
      <c r="B243" s="39"/>
      <c r="C243" s="113">
        <f t="shared" si="104"/>
        <v>-3.5000000000000001E-3</v>
      </c>
      <c r="D243" s="94">
        <f t="shared" si="110"/>
        <v>1.012499999999998E-2</v>
      </c>
      <c r="E243" s="94">
        <f t="shared" si="111"/>
        <v>-1.8160112359550586E-3</v>
      </c>
      <c r="F243" s="93" t="s">
        <v>107</v>
      </c>
      <c r="G243" s="95">
        <f t="shared" si="105"/>
        <v>91.449541284403807</v>
      </c>
      <c r="H243" s="115">
        <f t="shared" si="106"/>
        <v>47.033333333333289</v>
      </c>
      <c r="I243" s="115">
        <f t="shared" si="107"/>
        <v>96.141666666666509</v>
      </c>
      <c r="J243" s="115">
        <f t="shared" si="102"/>
        <v>0.80952380952380887</v>
      </c>
      <c r="K243" s="115">
        <f t="shared" si="103"/>
        <v>0.41596638655462226</v>
      </c>
      <c r="L243" s="96">
        <f t="shared" si="88"/>
        <v>-477530.88137099647</v>
      </c>
      <c r="M243" s="116">
        <f t="shared" si="108"/>
        <v>-731200.04892966407</v>
      </c>
      <c r="N243" s="96">
        <f t="shared" si="89"/>
        <v>491727.54577927204</v>
      </c>
      <c r="O243" s="96">
        <f t="shared" si="90"/>
        <v>-717003.38452138845</v>
      </c>
      <c r="P243" s="116">
        <f t="shared" si="109"/>
        <v>290953207.3098008</v>
      </c>
      <c r="Q243" s="97">
        <f t="shared" si="91"/>
        <v>0.20391358215073169</v>
      </c>
      <c r="R243" s="97">
        <f t="shared" si="92"/>
        <v>0.19756819175483711</v>
      </c>
      <c r="S243" s="71">
        <f t="shared" si="93"/>
        <v>-0.19756819175483711</v>
      </c>
      <c r="T243" s="98">
        <f t="shared" si="94"/>
        <v>-405.79056332351468</v>
      </c>
      <c r="U243" s="99">
        <f t="shared" si="95"/>
        <v>-1.1398611329312209</v>
      </c>
      <c r="V243" s="93" t="str">
        <f t="shared" si="96"/>
        <v>NO</v>
      </c>
      <c r="W243" s="95">
        <f t="shared" si="97"/>
        <v>717.0033845213884</v>
      </c>
      <c r="X243" s="95">
        <f t="shared" si="98"/>
        <v>290.9532073098008</v>
      </c>
      <c r="Y243" s="95">
        <f t="shared" si="99"/>
        <v>-290.9532073098008</v>
      </c>
      <c r="Z243" s="95">
        <f t="shared" si="100"/>
        <v>14.196664408275566</v>
      </c>
      <c r="AA243" s="93" t="str">
        <f t="shared" si="101"/>
        <v/>
      </c>
      <c r="AB243" s="100"/>
      <c r="AC243" s="71"/>
      <c r="AD243" s="39"/>
    </row>
    <row r="244" spans="1:30" ht="18.75" x14ac:dyDescent="0.25">
      <c r="A244" s="39"/>
      <c r="B244" s="39"/>
      <c r="C244" s="113">
        <f t="shared" si="104"/>
        <v>-3.5000000000000001E-3</v>
      </c>
      <c r="D244" s="94">
        <f t="shared" si="110"/>
        <v>9.4499999999999792E-3</v>
      </c>
      <c r="E244" s="94">
        <f t="shared" si="111"/>
        <v>-1.8994382022471936E-3</v>
      </c>
      <c r="F244" s="93" t="s">
        <v>107</v>
      </c>
      <c r="G244" s="95">
        <f t="shared" si="105"/>
        <v>96.216216216216381</v>
      </c>
      <c r="H244" s="115">
        <f t="shared" si="106"/>
        <v>47.033333333333289</v>
      </c>
      <c r="I244" s="115">
        <f t="shared" si="107"/>
        <v>96.141666666666509</v>
      </c>
      <c r="J244" s="115">
        <f t="shared" si="102"/>
        <v>0.80952380952380887</v>
      </c>
      <c r="K244" s="115">
        <f t="shared" si="103"/>
        <v>0.41596638655462226</v>
      </c>
      <c r="L244" s="96">
        <f t="shared" si="88"/>
        <v>-491727.54577927204</v>
      </c>
      <c r="M244" s="116">
        <f t="shared" si="108"/>
        <v>-769312.79279279348</v>
      </c>
      <c r="N244" s="96">
        <f t="shared" si="89"/>
        <v>491727.54577927204</v>
      </c>
      <c r="O244" s="96">
        <f t="shared" si="90"/>
        <v>-769312.7927927936</v>
      </c>
      <c r="P244" s="116">
        <f t="shared" si="109"/>
        <v>298127580.67566013</v>
      </c>
      <c r="Q244" s="97">
        <f t="shared" si="91"/>
        <v>0.21879021879021904</v>
      </c>
      <c r="R244" s="97">
        <f t="shared" si="92"/>
        <v>0.20243986162221084</v>
      </c>
      <c r="S244" s="71">
        <f t="shared" si="93"/>
        <v>-0.20243986162221084</v>
      </c>
      <c r="T244" s="98">
        <f t="shared" si="94"/>
        <v>-387.52453289303054</v>
      </c>
      <c r="U244" s="99">
        <f t="shared" si="95"/>
        <v>-1.088552058688288</v>
      </c>
      <c r="V244" s="93" t="str">
        <f t="shared" si="96"/>
        <v>NO</v>
      </c>
      <c r="W244" s="95">
        <f t="shared" si="97"/>
        <v>769.31279279279363</v>
      </c>
      <c r="X244" s="95">
        <f t="shared" si="98"/>
        <v>298.12758067566011</v>
      </c>
      <c r="Y244" s="95">
        <f t="shared" si="99"/>
        <v>-298.12758067566011</v>
      </c>
      <c r="Z244" s="95">
        <f t="shared" si="100"/>
        <v>0</v>
      </c>
      <c r="AA244" s="93" t="str">
        <f t="shared" si="101"/>
        <v>ROTTURA BILANCIATA</v>
      </c>
      <c r="AB244" s="100"/>
      <c r="AC244" s="71"/>
      <c r="AD244" s="39"/>
    </row>
    <row r="245" spans="1:30" ht="18.75" x14ac:dyDescent="0.25">
      <c r="A245" s="39"/>
      <c r="B245" s="39"/>
      <c r="C245" s="113">
        <f t="shared" si="104"/>
        <v>-3.5000000000000001E-3</v>
      </c>
      <c r="D245" s="94">
        <f t="shared" si="110"/>
        <v>8.774999999999979E-3</v>
      </c>
      <c r="E245" s="94">
        <f t="shared" si="111"/>
        <v>-1.9828651685393282E-3</v>
      </c>
      <c r="F245" s="93" t="s">
        <v>107</v>
      </c>
      <c r="G245" s="95">
        <f t="shared" si="105"/>
        <v>101.50712830957247</v>
      </c>
      <c r="H245" s="115">
        <f t="shared" si="106"/>
        <v>47.033333333333289</v>
      </c>
      <c r="I245" s="115">
        <f t="shared" si="107"/>
        <v>96.141666666666509</v>
      </c>
      <c r="J245" s="115">
        <f t="shared" si="102"/>
        <v>0.80952380952380887</v>
      </c>
      <c r="K245" s="115">
        <f t="shared" si="103"/>
        <v>0.41596638655462226</v>
      </c>
      <c r="L245" s="96">
        <f t="shared" si="88"/>
        <v>-491727.54577927204</v>
      </c>
      <c r="M245" s="116">
        <f t="shared" si="108"/>
        <v>-811617.16225390416</v>
      </c>
      <c r="N245" s="96">
        <f t="shared" si="89"/>
        <v>491727.54577927204</v>
      </c>
      <c r="O245" s="96">
        <f t="shared" si="90"/>
        <v>-811617.16225390416</v>
      </c>
      <c r="P245" s="116">
        <f t="shared" si="109"/>
        <v>303109078.17976189</v>
      </c>
      <c r="Q245" s="97">
        <f t="shared" si="91"/>
        <v>0.23082145281737967</v>
      </c>
      <c r="R245" s="97">
        <f t="shared" si="92"/>
        <v>0.20582248614529669</v>
      </c>
      <c r="S245" s="71">
        <f t="shared" si="93"/>
        <v>-0.20582248614529669</v>
      </c>
      <c r="T245" s="98">
        <f t="shared" si="94"/>
        <v>-373.46312063930708</v>
      </c>
      <c r="U245" s="99">
        <f t="shared" si="95"/>
        <v>-1.0490537096609749</v>
      </c>
      <c r="V245" s="93" t="str">
        <f t="shared" si="96"/>
        <v>NO</v>
      </c>
      <c r="W245" s="95">
        <f t="shared" si="97"/>
        <v>811.61716225390421</v>
      </c>
      <c r="X245" s="95">
        <f t="shared" si="98"/>
        <v>303.10907817976187</v>
      </c>
      <c r="Y245" s="95">
        <f t="shared" si="99"/>
        <v>-303.10907817976187</v>
      </c>
      <c r="Z245" s="95">
        <f t="shared" si="100"/>
        <v>0</v>
      </c>
      <c r="AA245" s="93" t="str">
        <f t="shared" si="101"/>
        <v>ROTTURA BILANCIATA</v>
      </c>
      <c r="AB245" s="100"/>
      <c r="AC245" s="71"/>
      <c r="AD245" s="39"/>
    </row>
    <row r="246" spans="1:30" ht="18.75" x14ac:dyDescent="0.25">
      <c r="A246" s="39"/>
      <c r="B246" s="39"/>
      <c r="C246" s="113">
        <f t="shared" si="104"/>
        <v>-3.5000000000000001E-3</v>
      </c>
      <c r="D246" s="94">
        <f t="shared" si="110"/>
        <v>8.0999999999999787E-3</v>
      </c>
      <c r="E246" s="94">
        <f t="shared" si="111"/>
        <v>-2.0662921348314632E-3</v>
      </c>
      <c r="F246" s="93" t="s">
        <v>107</v>
      </c>
      <c r="G246" s="95">
        <f t="shared" si="105"/>
        <v>107.41379310344847</v>
      </c>
      <c r="H246" s="115">
        <f t="shared" si="106"/>
        <v>47.033333333333289</v>
      </c>
      <c r="I246" s="115">
        <f t="shared" si="107"/>
        <v>96.141666666666509</v>
      </c>
      <c r="J246" s="115">
        <f t="shared" si="102"/>
        <v>0.80952380952380887</v>
      </c>
      <c r="K246" s="115">
        <f t="shared" si="103"/>
        <v>0.41596638655462226</v>
      </c>
      <c r="L246" s="96">
        <f t="shared" si="88"/>
        <v>-491727.54577927204</v>
      </c>
      <c r="M246" s="116">
        <f t="shared" si="108"/>
        <v>-858844.88505747204</v>
      </c>
      <c r="N246" s="96">
        <f t="shared" si="89"/>
        <v>491727.54577927204</v>
      </c>
      <c r="O246" s="96">
        <f t="shared" si="90"/>
        <v>-858844.88505747216</v>
      </c>
      <c r="P246" s="116">
        <f t="shared" si="109"/>
        <v>308450340.90403998</v>
      </c>
      <c r="Q246" s="97">
        <f t="shared" si="91"/>
        <v>0.24425287356321868</v>
      </c>
      <c r="R246" s="97">
        <f t="shared" si="92"/>
        <v>0.20944940480991728</v>
      </c>
      <c r="S246" s="71">
        <f t="shared" si="93"/>
        <v>-0.20944940480991728</v>
      </c>
      <c r="T246" s="98">
        <f t="shared" si="94"/>
        <v>-359.14557595973702</v>
      </c>
      <c r="U246" s="99">
        <f t="shared" si="95"/>
        <v>-1.0088358875273511</v>
      </c>
      <c r="V246" s="93" t="str">
        <f t="shared" si="96"/>
        <v>NO</v>
      </c>
      <c r="W246" s="95">
        <f t="shared" si="97"/>
        <v>858.8448850574722</v>
      </c>
      <c r="X246" s="95">
        <f t="shared" si="98"/>
        <v>308.45034090403999</v>
      </c>
      <c r="Y246" s="95">
        <f t="shared" si="99"/>
        <v>-308.45034090403999</v>
      </c>
      <c r="Z246" s="95">
        <f t="shared" si="100"/>
        <v>0</v>
      </c>
      <c r="AA246" s="93" t="str">
        <f t="shared" si="101"/>
        <v>ROTTURA BILANCIATA</v>
      </c>
      <c r="AB246" s="100"/>
      <c r="AC246" s="71"/>
      <c r="AD246" s="39"/>
    </row>
    <row r="247" spans="1:30" ht="18.75" x14ac:dyDescent="0.25">
      <c r="A247" s="39"/>
      <c r="B247" s="39"/>
      <c r="C247" s="113">
        <f t="shared" si="104"/>
        <v>-3.5000000000000001E-3</v>
      </c>
      <c r="D247" s="94">
        <f t="shared" si="110"/>
        <v>7.4249999999999785E-3</v>
      </c>
      <c r="E247" s="94">
        <f t="shared" si="111"/>
        <v>-2.1497191011235982E-3</v>
      </c>
      <c r="F247" s="93" t="s">
        <v>107</v>
      </c>
      <c r="G247" s="95">
        <f t="shared" si="105"/>
        <v>114.05034324942814</v>
      </c>
      <c r="H247" s="115">
        <f t="shared" si="106"/>
        <v>47.033333333333289</v>
      </c>
      <c r="I247" s="115">
        <f t="shared" si="107"/>
        <v>96.141666666666509</v>
      </c>
      <c r="J247" s="115">
        <f t="shared" si="102"/>
        <v>0.80952380952380887</v>
      </c>
      <c r="K247" s="115">
        <f t="shared" si="103"/>
        <v>0.41596638655462226</v>
      </c>
      <c r="L247" s="96">
        <f t="shared" si="88"/>
        <v>-491727.54577927204</v>
      </c>
      <c r="M247" s="116">
        <f t="shared" si="108"/>
        <v>-911908.52784134343</v>
      </c>
      <c r="N247" s="96">
        <f t="shared" si="89"/>
        <v>491727.54577927204</v>
      </c>
      <c r="O247" s="96">
        <f t="shared" si="90"/>
        <v>-911908.52784134354</v>
      </c>
      <c r="P247" s="116">
        <f t="shared" si="109"/>
        <v>314174759.84625167</v>
      </c>
      <c r="Q247" s="97">
        <f t="shared" si="91"/>
        <v>0.25934401220442443</v>
      </c>
      <c r="R247" s="97">
        <f t="shared" si="92"/>
        <v>0.21333650098499285</v>
      </c>
      <c r="S247" s="71">
        <f t="shared" si="93"/>
        <v>-0.21333650098499285</v>
      </c>
      <c r="T247" s="98">
        <f t="shared" si="94"/>
        <v>-344.5244235076533</v>
      </c>
      <c r="U247" s="99">
        <f t="shared" si="95"/>
        <v>-0.96776523457205987</v>
      </c>
      <c r="V247" s="93" t="str">
        <f t="shared" si="96"/>
        <v>NO</v>
      </c>
      <c r="W247" s="95">
        <f t="shared" si="97"/>
        <v>911.90852784134358</v>
      </c>
      <c r="X247" s="95">
        <f t="shared" si="98"/>
        <v>314.17475984625167</v>
      </c>
      <c r="Y247" s="95">
        <f t="shared" si="99"/>
        <v>-314.17475984625167</v>
      </c>
      <c r="Z247" s="95">
        <f t="shared" si="100"/>
        <v>0</v>
      </c>
      <c r="AA247" s="93" t="str">
        <f t="shared" si="101"/>
        <v>ROTTURA BILANCIATA</v>
      </c>
      <c r="AB247" s="100"/>
      <c r="AC247" s="71"/>
      <c r="AD247" s="39"/>
    </row>
    <row r="248" spans="1:30" ht="18.75" x14ac:dyDescent="0.25">
      <c r="A248" s="39"/>
      <c r="B248" s="39"/>
      <c r="C248" s="113">
        <f t="shared" si="104"/>
        <v>-3.5000000000000001E-3</v>
      </c>
      <c r="D248" s="94">
        <f t="shared" si="110"/>
        <v>6.7499999999999782E-3</v>
      </c>
      <c r="E248" s="94">
        <f t="shared" si="111"/>
        <v>-2.2331460674157332E-3</v>
      </c>
      <c r="F248" s="93" t="s">
        <v>107</v>
      </c>
      <c r="G248" s="95">
        <f t="shared" si="105"/>
        <v>121.56097560975637</v>
      </c>
      <c r="H248" s="115">
        <f t="shared" si="106"/>
        <v>47.033333333333289</v>
      </c>
      <c r="I248" s="115">
        <f t="shared" si="107"/>
        <v>96.141666666666509</v>
      </c>
      <c r="J248" s="115">
        <f t="shared" si="102"/>
        <v>0.80952380952380887</v>
      </c>
      <c r="K248" s="115">
        <f t="shared" si="103"/>
        <v>0.41596638655462226</v>
      </c>
      <c r="L248" s="96">
        <f t="shared" si="88"/>
        <v>-491727.54577927204</v>
      </c>
      <c r="M248" s="116">
        <f t="shared" si="108"/>
        <v>-971961.04065040778</v>
      </c>
      <c r="N248" s="96">
        <f t="shared" si="89"/>
        <v>491727.54577927204</v>
      </c>
      <c r="O248" s="96">
        <f t="shared" si="90"/>
        <v>-971961.04065040778</v>
      </c>
      <c r="P248" s="116">
        <f t="shared" si="109"/>
        <v>320299732.48104179</v>
      </c>
      <c r="Q248" s="97">
        <f t="shared" si="91"/>
        <v>0.27642276422764267</v>
      </c>
      <c r="R248" s="97">
        <f t="shared" si="92"/>
        <v>0.21749558821139645</v>
      </c>
      <c r="S248" s="71">
        <f t="shared" si="93"/>
        <v>-0.21749558821139645</v>
      </c>
      <c r="T248" s="98">
        <f t="shared" si="94"/>
        <v>-329.53968223531535</v>
      </c>
      <c r="U248" s="99">
        <f t="shared" si="95"/>
        <v>-0.92567326470594202</v>
      </c>
      <c r="V248" s="93" t="str">
        <f t="shared" si="96"/>
        <v>NO</v>
      </c>
      <c r="W248" s="95">
        <f t="shared" si="97"/>
        <v>971.96104065040777</v>
      </c>
      <c r="X248" s="95">
        <f t="shared" si="98"/>
        <v>320.29973248104181</v>
      </c>
      <c r="Y248" s="95">
        <f t="shared" si="99"/>
        <v>-320.29973248104181</v>
      </c>
      <c r="Z248" s="95">
        <f t="shared" si="100"/>
        <v>0</v>
      </c>
      <c r="AA248" s="93" t="str">
        <f t="shared" si="101"/>
        <v>ROTTURA BILANCIATA</v>
      </c>
      <c r="AB248" s="100"/>
      <c r="AC248" s="71"/>
      <c r="AD248" s="39"/>
    </row>
    <row r="249" spans="1:30" ht="18.75" x14ac:dyDescent="0.25">
      <c r="A249" s="39"/>
      <c r="B249" s="39"/>
      <c r="C249" s="113">
        <f t="shared" si="104"/>
        <v>-3.5000000000000001E-3</v>
      </c>
      <c r="D249" s="94">
        <f t="shared" si="110"/>
        <v>6.074999999999978E-3</v>
      </c>
      <c r="E249" s="94">
        <f t="shared" si="111"/>
        <v>-2.3165730337078678E-3</v>
      </c>
      <c r="F249" s="93" t="s">
        <v>107</v>
      </c>
      <c r="G249" s="95">
        <f t="shared" si="105"/>
        <v>130.13054830287237</v>
      </c>
      <c r="H249" s="115">
        <f t="shared" si="106"/>
        <v>47.033333333333289</v>
      </c>
      <c r="I249" s="115">
        <f t="shared" si="107"/>
        <v>96.141666666666509</v>
      </c>
      <c r="J249" s="115">
        <f t="shared" si="102"/>
        <v>0.80952380952380887</v>
      </c>
      <c r="K249" s="115">
        <f t="shared" si="103"/>
        <v>0.41596638655462226</v>
      </c>
      <c r="L249" s="96">
        <f t="shared" si="88"/>
        <v>-491727.54577927204</v>
      </c>
      <c r="M249" s="116">
        <f t="shared" si="108"/>
        <v>-1040480.4873803323</v>
      </c>
      <c r="N249" s="96">
        <f t="shared" si="89"/>
        <v>491727.54577927204</v>
      </c>
      <c r="O249" s="96">
        <f t="shared" si="90"/>
        <v>-1040480.4873803323</v>
      </c>
      <c r="P249" s="116">
        <f t="shared" si="109"/>
        <v>326829963.70708805</v>
      </c>
      <c r="Q249" s="97">
        <f t="shared" si="91"/>
        <v>0.2959094865100092</v>
      </c>
      <c r="R249" s="97">
        <f t="shared" si="92"/>
        <v>0.2219298612926249</v>
      </c>
      <c r="S249" s="71">
        <f t="shared" si="93"/>
        <v>-0.2219298612926249</v>
      </c>
      <c r="T249" s="98">
        <f t="shared" si="94"/>
        <v>-314.11445737917063</v>
      </c>
      <c r="U249" s="99">
        <f t="shared" si="95"/>
        <v>-0.88234398140216475</v>
      </c>
      <c r="V249" s="93" t="str">
        <f t="shared" si="96"/>
        <v>NO</v>
      </c>
      <c r="W249" s="95">
        <f t="shared" si="97"/>
        <v>1040.4804873803323</v>
      </c>
      <c r="X249" s="95">
        <f t="shared" si="98"/>
        <v>326.82996370708804</v>
      </c>
      <c r="Y249" s="95">
        <f t="shared" si="99"/>
        <v>-326.82996370708804</v>
      </c>
      <c r="Z249" s="95">
        <f t="shared" si="100"/>
        <v>0</v>
      </c>
      <c r="AA249" s="93" t="str">
        <f t="shared" si="101"/>
        <v>ROTTURA BILANCIATA</v>
      </c>
      <c r="AB249" s="100"/>
      <c r="AC249" s="71"/>
      <c r="AD249" s="39"/>
    </row>
    <row r="250" spans="1:30" ht="18.75" x14ac:dyDescent="0.25">
      <c r="A250" s="39"/>
      <c r="B250" s="39"/>
      <c r="C250" s="113">
        <f t="shared" si="104"/>
        <v>-3.5000000000000001E-3</v>
      </c>
      <c r="D250" s="94">
        <f t="shared" si="110"/>
        <v>5.3999999999999777E-3</v>
      </c>
      <c r="E250" s="94">
        <f t="shared" si="111"/>
        <v>-2.4000000000000028E-3</v>
      </c>
      <c r="F250" s="93" t="s">
        <v>107</v>
      </c>
      <c r="G250" s="95">
        <f t="shared" si="105"/>
        <v>140.00000000000037</v>
      </c>
      <c r="H250" s="115">
        <f t="shared" si="106"/>
        <v>47.033333333333289</v>
      </c>
      <c r="I250" s="115">
        <f t="shared" si="107"/>
        <v>96.141666666666509</v>
      </c>
      <c r="J250" s="115">
        <f t="shared" ref="J250:J277" si="112">H250/($I$10*(-$I$12))</f>
        <v>0.80952380952380887</v>
      </c>
      <c r="K250" s="115">
        <f t="shared" si="103"/>
        <v>0.41596638655462226</v>
      </c>
      <c r="L250" s="96">
        <f t="shared" si="88"/>
        <v>-491727.54577927204</v>
      </c>
      <c r="M250" s="116">
        <f t="shared" si="108"/>
        <v>-1119393.3333333354</v>
      </c>
      <c r="N250" s="96">
        <f t="shared" si="89"/>
        <v>491727.54577927204</v>
      </c>
      <c r="O250" s="96">
        <f t="shared" si="90"/>
        <v>-1119393.3333333354</v>
      </c>
      <c r="P250" s="116">
        <f t="shared" si="109"/>
        <v>333745472.96408761</v>
      </c>
      <c r="Q250" s="97">
        <f t="shared" si="91"/>
        <v>0.31835205992509424</v>
      </c>
      <c r="R250" s="97">
        <f t="shared" si="92"/>
        <v>0.22662575267530502</v>
      </c>
      <c r="S250" s="71">
        <f t="shared" si="93"/>
        <v>-0.22662575267530502</v>
      </c>
      <c r="T250" s="98">
        <f t="shared" si="94"/>
        <v>-298.14852655076885</v>
      </c>
      <c r="U250" s="99">
        <f t="shared" si="95"/>
        <v>-0.83749586109766527</v>
      </c>
      <c r="V250" s="93" t="str">
        <f t="shared" si="96"/>
        <v>NO</v>
      </c>
      <c r="W250" s="95">
        <f t="shared" si="97"/>
        <v>1119.3933333333352</v>
      </c>
      <c r="X250" s="95">
        <f t="shared" si="98"/>
        <v>333.74547296408758</v>
      </c>
      <c r="Y250" s="95">
        <f t="shared" si="99"/>
        <v>-333.74547296408758</v>
      </c>
      <c r="Z250" s="95">
        <f t="shared" si="100"/>
        <v>0</v>
      </c>
      <c r="AA250" s="93" t="str">
        <f t="shared" si="101"/>
        <v>ROTTURA BILANCIATA</v>
      </c>
      <c r="AB250" s="100"/>
      <c r="AC250" s="71"/>
      <c r="AD250" s="39"/>
    </row>
    <row r="251" spans="1:30" ht="18.75" x14ac:dyDescent="0.25">
      <c r="A251" s="39"/>
      <c r="B251" s="39"/>
      <c r="C251" s="113">
        <f t="shared" si="104"/>
        <v>-3.5000000000000001E-3</v>
      </c>
      <c r="D251" s="94">
        <f t="shared" si="110"/>
        <v>4.7249999999999775E-3</v>
      </c>
      <c r="E251" s="94">
        <f t="shared" si="111"/>
        <v>-2.4834269662921378E-3</v>
      </c>
      <c r="F251" s="93" t="s">
        <v>107</v>
      </c>
      <c r="G251" s="95">
        <f t="shared" si="105"/>
        <v>151.48936170212806</v>
      </c>
      <c r="H251" s="115">
        <f t="shared" si="106"/>
        <v>47.033333333333289</v>
      </c>
      <c r="I251" s="115">
        <f t="shared" si="107"/>
        <v>96.141666666666509</v>
      </c>
      <c r="J251" s="115">
        <f t="shared" si="112"/>
        <v>0.80952380952380887</v>
      </c>
      <c r="K251" s="115">
        <f t="shared" ref="K251:K261" si="113">1-(I251/H251)/(-C251*10^3)</f>
        <v>0.41596638655462226</v>
      </c>
      <c r="L251" s="96">
        <f t="shared" si="88"/>
        <v>-491727.54577927204</v>
      </c>
      <c r="M251" s="116">
        <f t="shared" si="108"/>
        <v>-1211258.4397163142</v>
      </c>
      <c r="N251" s="96">
        <f t="shared" si="89"/>
        <v>491727.54577927204</v>
      </c>
      <c r="O251" s="96">
        <f t="shared" si="90"/>
        <v>-1211258.4397163142</v>
      </c>
      <c r="P251" s="116">
        <f t="shared" si="109"/>
        <v>340979870.62301528</v>
      </c>
      <c r="Q251" s="97">
        <f t="shared" si="91"/>
        <v>0.34447821681864299</v>
      </c>
      <c r="R251" s="97">
        <f t="shared" si="92"/>
        <v>0.23153818129956794</v>
      </c>
      <c r="S251" s="71">
        <f t="shared" si="93"/>
        <v>-0.23153818129956794</v>
      </c>
      <c r="T251" s="98">
        <f t="shared" si="94"/>
        <v>-281.50876761104371</v>
      </c>
      <c r="U251" s="99">
        <f t="shared" si="95"/>
        <v>-0.79075496519956101</v>
      </c>
      <c r="V251" s="93" t="str">
        <f t="shared" si="96"/>
        <v>NO</v>
      </c>
      <c r="W251" s="95">
        <f t="shared" si="97"/>
        <v>1211.2584397163141</v>
      </c>
      <c r="X251" s="95">
        <f t="shared" si="98"/>
        <v>340.9798706230153</v>
      </c>
      <c r="Y251" s="95">
        <f t="shared" si="99"/>
        <v>-340.9798706230153</v>
      </c>
      <c r="Z251" s="95">
        <f t="shared" si="100"/>
        <v>0</v>
      </c>
      <c r="AA251" s="93" t="str">
        <f t="shared" si="101"/>
        <v>ROTTURA BILANCIATA</v>
      </c>
      <c r="AB251" s="100"/>
      <c r="AC251" s="71"/>
      <c r="AD251" s="39"/>
    </row>
    <row r="252" spans="1:30" ht="18.75" x14ac:dyDescent="0.25">
      <c r="A252" s="39"/>
      <c r="B252" s="39"/>
      <c r="C252" s="113">
        <f t="shared" si="104"/>
        <v>-3.5000000000000001E-3</v>
      </c>
      <c r="D252" s="94">
        <f t="shared" si="110"/>
        <v>4.0499999999999772E-3</v>
      </c>
      <c r="E252" s="94">
        <f t="shared" si="111"/>
        <v>-2.5668539325842724E-3</v>
      </c>
      <c r="F252" s="93" t="s">
        <v>107</v>
      </c>
      <c r="G252" s="95">
        <f t="shared" si="105"/>
        <v>165.03311258278197</v>
      </c>
      <c r="H252" s="115">
        <f t="shared" si="106"/>
        <v>47.033333333333289</v>
      </c>
      <c r="I252" s="115">
        <f t="shared" si="107"/>
        <v>96.141666666666509</v>
      </c>
      <c r="J252" s="115">
        <f t="shared" si="112"/>
        <v>0.80952380952380887</v>
      </c>
      <c r="K252" s="115">
        <f t="shared" si="113"/>
        <v>0.41596638655462226</v>
      </c>
      <c r="L252" s="96">
        <f t="shared" si="88"/>
        <v>-491727.54577927204</v>
      </c>
      <c r="M252" s="116">
        <f t="shared" si="108"/>
        <v>-1319549.757174396</v>
      </c>
      <c r="N252" s="96">
        <f t="shared" si="89"/>
        <v>491727.54577927204</v>
      </c>
      <c r="O252" s="96">
        <f t="shared" si="90"/>
        <v>-1319549.757174396</v>
      </c>
      <c r="P252" s="116">
        <f t="shared" si="109"/>
        <v>348380205.80036664</v>
      </c>
      <c r="Q252" s="97">
        <f t="shared" si="91"/>
        <v>0.37527593818984639</v>
      </c>
      <c r="R252" s="97">
        <f t="shared" si="92"/>
        <v>0.23656328775186505</v>
      </c>
      <c r="S252" s="71">
        <f t="shared" si="93"/>
        <v>-0.23656328775186505</v>
      </c>
      <c r="T252" s="98">
        <f t="shared" si="94"/>
        <v>-264.01445182815002</v>
      </c>
      <c r="U252" s="99">
        <f t="shared" si="95"/>
        <v>-0.74161362873075842</v>
      </c>
      <c r="V252" s="93" t="str">
        <f t="shared" si="96"/>
        <v>NO</v>
      </c>
      <c r="W252" s="95">
        <f t="shared" si="97"/>
        <v>1319.5497571743961</v>
      </c>
      <c r="X252" s="95">
        <f t="shared" si="98"/>
        <v>348.38020580036664</v>
      </c>
      <c r="Y252" s="95">
        <f t="shared" si="99"/>
        <v>-348.38020580036664</v>
      </c>
      <c r="Z252" s="95">
        <f t="shared" si="100"/>
        <v>0</v>
      </c>
      <c r="AA252" s="93" t="str">
        <f t="shared" si="101"/>
        <v>ROTTURA BILANCIATA</v>
      </c>
      <c r="AB252" s="100"/>
      <c r="AC252" s="71"/>
      <c r="AD252" s="39"/>
    </row>
    <row r="253" spans="1:30" ht="18.75" x14ac:dyDescent="0.25">
      <c r="A253" s="39"/>
      <c r="B253" s="39"/>
      <c r="C253" s="113">
        <f t="shared" si="104"/>
        <v>-3.5000000000000001E-3</v>
      </c>
      <c r="D253" s="94">
        <f t="shared" si="110"/>
        <v>3.374999999999977E-3</v>
      </c>
      <c r="E253" s="94">
        <f t="shared" si="111"/>
        <v>-2.6502808988764074E-3</v>
      </c>
      <c r="F253" s="93" t="s">
        <v>107</v>
      </c>
      <c r="G253" s="95">
        <f t="shared" si="105"/>
        <v>181.23636363636425</v>
      </c>
      <c r="H253" s="115">
        <f t="shared" si="106"/>
        <v>47.033333333333289</v>
      </c>
      <c r="I253" s="115">
        <f t="shared" si="107"/>
        <v>96.141666666666509</v>
      </c>
      <c r="J253" s="115">
        <f t="shared" si="112"/>
        <v>0.80952380952380887</v>
      </c>
      <c r="K253" s="115">
        <f t="shared" si="113"/>
        <v>0.41596638655462226</v>
      </c>
      <c r="L253" s="96">
        <f t="shared" si="88"/>
        <v>-491727.54577927204</v>
      </c>
      <c r="M253" s="116">
        <f t="shared" si="108"/>
        <v>-1449105.5515151552</v>
      </c>
      <c r="N253" s="96">
        <f t="shared" si="89"/>
        <v>491727.54577927204</v>
      </c>
      <c r="O253" s="96">
        <f t="shared" si="90"/>
        <v>-1449105.5515151552</v>
      </c>
      <c r="P253" s="116">
        <f t="shared" si="109"/>
        <v>355630606.31681478</v>
      </c>
      <c r="Q253" s="97">
        <f t="shared" si="91"/>
        <v>0.41212121212121322</v>
      </c>
      <c r="R253" s="97">
        <f t="shared" si="92"/>
        <v>0.24148658291942016</v>
      </c>
      <c r="S253" s="71">
        <f t="shared" si="93"/>
        <v>-0.24148658291942016</v>
      </c>
      <c r="T253" s="98">
        <f t="shared" si="94"/>
        <v>-245.41387336828203</v>
      </c>
      <c r="U253" s="99">
        <f t="shared" si="95"/>
        <v>-0.68936481283225293</v>
      </c>
      <c r="V253" s="93" t="str">
        <f t="shared" si="96"/>
        <v>NO</v>
      </c>
      <c r="W253" s="95">
        <f t="shared" si="97"/>
        <v>1449.1055515151552</v>
      </c>
      <c r="X253" s="95">
        <f t="shared" si="98"/>
        <v>355.63060631681481</v>
      </c>
      <c r="Y253" s="95">
        <f t="shared" si="99"/>
        <v>-355.63060631681481</v>
      </c>
      <c r="Z253" s="95">
        <f t="shared" si="100"/>
        <v>0</v>
      </c>
      <c r="AA253" s="93" t="str">
        <f t="shared" si="101"/>
        <v>ROTTURA BILANCIATA</v>
      </c>
      <c r="AB253" s="100"/>
      <c r="AC253" s="71"/>
      <c r="AD253" s="39"/>
    </row>
    <row r="254" spans="1:30" ht="18.75" x14ac:dyDescent="0.25">
      <c r="A254" s="39"/>
      <c r="B254" s="39"/>
      <c r="C254" s="113">
        <f t="shared" ref="C254:C262" si="114">$I$12*10^-3</f>
        <v>-3.5000000000000001E-3</v>
      </c>
      <c r="D254" s="94">
        <f t="shared" si="110"/>
        <v>2.6999999999999767E-3</v>
      </c>
      <c r="E254" s="94">
        <f t="shared" si="111"/>
        <v>-2.7337078651685424E-3</v>
      </c>
      <c r="F254" s="93" t="s">
        <v>107</v>
      </c>
      <c r="G254" s="95">
        <f t="shared" si="105"/>
        <v>200.96774193548464</v>
      </c>
      <c r="H254" s="115">
        <f t="shared" si="106"/>
        <v>47.033333333333289</v>
      </c>
      <c r="I254" s="115">
        <f t="shared" si="107"/>
        <v>96.141666666666509</v>
      </c>
      <c r="J254" s="115">
        <f t="shared" si="112"/>
        <v>0.80952380952380887</v>
      </c>
      <c r="K254" s="115">
        <f t="shared" si="113"/>
        <v>0.41596638655462226</v>
      </c>
      <c r="L254" s="96">
        <f t="shared" si="88"/>
        <v>-491727.54577927204</v>
      </c>
      <c r="M254" s="116">
        <f t="shared" si="108"/>
        <v>-1606871.075268822</v>
      </c>
      <c r="N254" s="96">
        <f t="shared" si="89"/>
        <v>491727.54577927204</v>
      </c>
      <c r="O254" s="96">
        <f t="shared" si="90"/>
        <v>-1606871.0752688223</v>
      </c>
      <c r="P254" s="116">
        <f t="shared" si="109"/>
        <v>362101507.45940483</v>
      </c>
      <c r="Q254" s="97">
        <f t="shared" si="91"/>
        <v>0.45698924731182944</v>
      </c>
      <c r="R254" s="97">
        <f t="shared" si="92"/>
        <v>0.24588056863824595</v>
      </c>
      <c r="S254" s="71">
        <f t="shared" si="93"/>
        <v>-0.24588056863824595</v>
      </c>
      <c r="T254" s="98">
        <f t="shared" si="94"/>
        <v>-225.34571256678254</v>
      </c>
      <c r="U254" s="99">
        <f t="shared" si="95"/>
        <v>-0.63299357462579364</v>
      </c>
      <c r="V254" s="93" t="str">
        <f t="shared" si="96"/>
        <v>NO</v>
      </c>
      <c r="W254" s="95">
        <f t="shared" si="97"/>
        <v>1606.8710752688223</v>
      </c>
      <c r="X254" s="95">
        <f t="shared" si="98"/>
        <v>362.10150745940484</v>
      </c>
      <c r="Y254" s="95">
        <f t="shared" si="99"/>
        <v>-362.10150745940484</v>
      </c>
      <c r="Z254" s="95">
        <f t="shared" si="100"/>
        <v>0</v>
      </c>
      <c r="AA254" s="93" t="str">
        <f t="shared" si="101"/>
        <v>ROTTURA BILANCIATA</v>
      </c>
      <c r="AB254" s="100"/>
      <c r="AC254" s="71"/>
      <c r="AD254" s="39"/>
    </row>
    <row r="255" spans="1:30" ht="18.75" x14ac:dyDescent="0.25">
      <c r="A255" s="39"/>
      <c r="B255" s="39"/>
      <c r="C255" s="113">
        <f t="shared" si="114"/>
        <v>-3.5000000000000001E-3</v>
      </c>
      <c r="D255" s="94">
        <f t="shared" si="110"/>
        <v>2.0249999999999765E-3</v>
      </c>
      <c r="E255" s="94">
        <f t="shared" si="111"/>
        <v>-2.8171348314606774E-3</v>
      </c>
      <c r="F255" s="93" t="s">
        <v>107</v>
      </c>
      <c r="G255" s="95">
        <f t="shared" si="105"/>
        <v>225.52036199095122</v>
      </c>
      <c r="H255" s="115">
        <f t="shared" si="106"/>
        <v>47.033333333333289</v>
      </c>
      <c r="I255" s="115">
        <f t="shared" si="107"/>
        <v>96.141666666666509</v>
      </c>
      <c r="J255" s="115">
        <f t="shared" si="112"/>
        <v>0.80952380952380887</v>
      </c>
      <c r="K255" s="115">
        <f t="shared" si="113"/>
        <v>0.41596638655462226</v>
      </c>
      <c r="L255" s="96">
        <f t="shared" si="88"/>
        <v>-491727.54577927204</v>
      </c>
      <c r="M255" s="116">
        <f t="shared" si="108"/>
        <v>-1803185.6410256473</v>
      </c>
      <c r="N255" s="96">
        <f t="shared" si="89"/>
        <v>491727.54577927204</v>
      </c>
      <c r="O255" s="96">
        <f t="shared" si="90"/>
        <v>-1803185.6410256475</v>
      </c>
      <c r="P255" s="116">
        <f t="shared" si="109"/>
        <v>366537290.92440754</v>
      </c>
      <c r="Q255" s="97">
        <f t="shared" si="91"/>
        <v>0.51282051282051477</v>
      </c>
      <c r="R255" s="97">
        <f t="shared" si="92"/>
        <v>0.24889263276463811</v>
      </c>
      <c r="S255" s="71">
        <f t="shared" si="93"/>
        <v>-0.24889263276463811</v>
      </c>
      <c r="T255" s="98">
        <f t="shared" si="94"/>
        <v>-203.27207725318954</v>
      </c>
      <c r="U255" s="99">
        <f t="shared" si="95"/>
        <v>-0.57098898104828522</v>
      </c>
      <c r="V255" s="93" t="str">
        <f t="shared" si="96"/>
        <v>NO</v>
      </c>
      <c r="W255" s="95">
        <f t="shared" si="97"/>
        <v>1803.1856410256476</v>
      </c>
      <c r="X255" s="95">
        <f t="shared" si="98"/>
        <v>366.53729092440756</v>
      </c>
      <c r="Y255" s="95">
        <f t="shared" si="99"/>
        <v>-366.53729092440756</v>
      </c>
      <c r="Z255" s="95">
        <f t="shared" si="100"/>
        <v>0</v>
      </c>
      <c r="AA255" s="93" t="str">
        <f t="shared" si="101"/>
        <v>ROTTURA BILANCIATA</v>
      </c>
      <c r="AB255" s="100"/>
      <c r="AC255" s="71"/>
      <c r="AD255" s="39"/>
    </row>
    <row r="256" spans="1:30" ht="18.75" x14ac:dyDescent="0.25">
      <c r="A256" s="39"/>
      <c r="B256" s="39"/>
      <c r="C256" s="113">
        <f t="shared" si="114"/>
        <v>-3.5000000000000001E-3</v>
      </c>
      <c r="D256" s="94">
        <f t="shared" si="110"/>
        <v>1.3499999999999764E-3</v>
      </c>
      <c r="E256" s="94">
        <f t="shared" si="111"/>
        <v>-2.900561797752812E-3</v>
      </c>
      <c r="F256" s="93" t="s">
        <v>107</v>
      </c>
      <c r="G256" s="95">
        <f t="shared" si="105"/>
        <v>256.90721649484658</v>
      </c>
      <c r="H256" s="115">
        <f t="shared" si="106"/>
        <v>47.033333333333289</v>
      </c>
      <c r="I256" s="115">
        <f t="shared" si="107"/>
        <v>96.141666666666509</v>
      </c>
      <c r="J256" s="115">
        <f t="shared" si="112"/>
        <v>0.80952380952380887</v>
      </c>
      <c r="K256" s="115">
        <f t="shared" si="113"/>
        <v>0.41596638655462226</v>
      </c>
      <c r="L256" s="96">
        <f t="shared" si="88"/>
        <v>-491727.54577927204</v>
      </c>
      <c r="M256" s="116">
        <f t="shared" si="108"/>
        <v>-2054144.4673539598</v>
      </c>
      <c r="N256" s="96">
        <f t="shared" si="89"/>
        <v>354990.47422567144</v>
      </c>
      <c r="O256" s="96">
        <f t="shared" si="90"/>
        <v>-2190881.5389075605</v>
      </c>
      <c r="P256" s="116">
        <f t="shared" si="109"/>
        <v>342029032.1189267</v>
      </c>
      <c r="Q256" s="97">
        <f t="shared" si="91"/>
        <v>0.62308004719498167</v>
      </c>
      <c r="R256" s="97">
        <f t="shared" si="92"/>
        <v>0.23225060149085083</v>
      </c>
      <c r="S256" s="71">
        <f t="shared" si="93"/>
        <v>-0.23225060149085083</v>
      </c>
      <c r="T256" s="98">
        <f t="shared" si="94"/>
        <v>-156.11479947449493</v>
      </c>
      <c r="U256" s="99">
        <f t="shared" si="95"/>
        <v>-0.43852471762498574</v>
      </c>
      <c r="V256" s="93" t="str">
        <f t="shared" si="96"/>
        <v>NO</v>
      </c>
      <c r="W256" s="95">
        <f t="shared" si="97"/>
        <v>2190.8815389075603</v>
      </c>
      <c r="X256" s="95">
        <f t="shared" si="98"/>
        <v>342.02903211892669</v>
      </c>
      <c r="Y256" s="95">
        <f t="shared" si="99"/>
        <v>-342.02903211892669</v>
      </c>
      <c r="Z256" s="95">
        <f t="shared" si="100"/>
        <v>-136.7370715536006</v>
      </c>
      <c r="AA256" s="93" t="str">
        <f t="shared" si="101"/>
        <v/>
      </c>
      <c r="AB256" s="100"/>
      <c r="AC256" s="71"/>
      <c r="AD256" s="39"/>
    </row>
    <row r="257" spans="1:30" ht="18.75" x14ac:dyDescent="0.25">
      <c r="A257" s="39"/>
      <c r="B257" s="39"/>
      <c r="C257" s="113">
        <f t="shared" si="114"/>
        <v>-3.5000000000000001E-3</v>
      </c>
      <c r="D257" s="94">
        <f t="shared" si="110"/>
        <v>6.749999999999764E-4</v>
      </c>
      <c r="E257" s="94">
        <f t="shared" si="111"/>
        <v>-2.9839887640449466E-3</v>
      </c>
      <c r="F257" s="93" t="s">
        <v>107</v>
      </c>
      <c r="G257" s="95">
        <f t="shared" si="105"/>
        <v>298.4431137724568</v>
      </c>
      <c r="H257" s="115">
        <f t="shared" si="106"/>
        <v>47.033333333333289</v>
      </c>
      <c r="I257" s="115">
        <f t="shared" si="107"/>
        <v>96.141666666666509</v>
      </c>
      <c r="J257" s="115">
        <f t="shared" si="112"/>
        <v>0.80952380952380887</v>
      </c>
      <c r="K257" s="115">
        <f t="shared" si="113"/>
        <v>0.41596638655462226</v>
      </c>
      <c r="L257" s="96">
        <f t="shared" si="88"/>
        <v>-491727.54577927204</v>
      </c>
      <c r="M257" s="116">
        <f t="shared" si="108"/>
        <v>-2386251.6566866385</v>
      </c>
      <c r="N257" s="96">
        <f t="shared" si="89"/>
        <v>177495.23711283263</v>
      </c>
      <c r="O257" s="116">
        <f t="shared" si="90"/>
        <v>-2700483.9653530777</v>
      </c>
      <c r="P257" s="116">
        <f t="shared" si="109"/>
        <v>300137208.99481887</v>
      </c>
      <c r="Q257" s="97">
        <f t="shared" si="91"/>
        <v>0.76800942757520818</v>
      </c>
      <c r="R257" s="97">
        <f t="shared" si="92"/>
        <v>0.20380447497975579</v>
      </c>
      <c r="S257" s="71">
        <f t="shared" si="93"/>
        <v>-0.20380447497975579</v>
      </c>
      <c r="T257" s="98">
        <f t="shared" si="94"/>
        <v>-111.14200744960806</v>
      </c>
      <c r="U257" s="99">
        <f t="shared" si="95"/>
        <v>-0.3121966501393485</v>
      </c>
      <c r="V257" s="93" t="str">
        <f t="shared" si="96"/>
        <v>NO</v>
      </c>
      <c r="W257" s="95">
        <f t="shared" si="97"/>
        <v>2700.4839653530776</v>
      </c>
      <c r="X257" s="95">
        <f t="shared" si="98"/>
        <v>300.13720899481888</v>
      </c>
      <c r="Y257" s="95">
        <f t="shared" si="99"/>
        <v>-300.13720899481888</v>
      </c>
      <c r="Z257" s="95">
        <f t="shared" si="100"/>
        <v>-314.23230866643939</v>
      </c>
      <c r="AA257" s="93" t="str">
        <f t="shared" si="101"/>
        <v/>
      </c>
      <c r="AB257" s="100"/>
      <c r="AC257" s="71"/>
      <c r="AD257" s="39"/>
    </row>
    <row r="258" spans="1:30" ht="18.75" x14ac:dyDescent="0.25">
      <c r="A258" s="39"/>
      <c r="B258" s="39"/>
      <c r="C258" s="113">
        <f t="shared" si="114"/>
        <v>-3.5000000000000001E-3</v>
      </c>
      <c r="D258" s="111">
        <f t="shared" si="110"/>
        <v>-2.3635607360183997E-17</v>
      </c>
      <c r="E258" s="111">
        <f t="shared" si="111"/>
        <v>-3.067415730337082E-3</v>
      </c>
      <c r="F258" s="113" t="s">
        <v>107</v>
      </c>
      <c r="G258" s="114">
        <f t="shared" si="105"/>
        <v>356.00000000000244</v>
      </c>
      <c r="H258" s="115">
        <f t="shared" si="106"/>
        <v>47.033333333333289</v>
      </c>
      <c r="I258" s="115">
        <f t="shared" si="107"/>
        <v>96.141666666666509</v>
      </c>
      <c r="J258" s="115">
        <f t="shared" si="112"/>
        <v>0.80952380952380887</v>
      </c>
      <c r="K258" s="115">
        <f t="shared" si="113"/>
        <v>0.41596638655462226</v>
      </c>
      <c r="L258" s="116">
        <f t="shared" si="88"/>
        <v>-491727.54577927204</v>
      </c>
      <c r="M258" s="116">
        <f t="shared" si="108"/>
        <v>-2846457.3333333503</v>
      </c>
      <c r="N258" s="116">
        <f t="shared" si="89"/>
        <v>-6.2151225669656546E-9</v>
      </c>
      <c r="O258" s="116">
        <f t="shared" si="90"/>
        <v>-3338184.8791126283</v>
      </c>
      <c r="P258" s="116">
        <f t="shared" si="109"/>
        <v>235304086.38680214</v>
      </c>
      <c r="Q258" s="97">
        <f t="shared" si="91"/>
        <v>0.9493696282000712</v>
      </c>
      <c r="R258" s="117">
        <f t="shared" si="92"/>
        <v>0.1597803416219585</v>
      </c>
      <c r="S258" s="115">
        <f t="shared" si="93"/>
        <v>-0.1597803416219585</v>
      </c>
      <c r="T258" s="118">
        <f t="shared" si="94"/>
        <v>-70.488632268130019</v>
      </c>
      <c r="U258" s="119">
        <f t="shared" si="95"/>
        <v>-0.1980017760340731</v>
      </c>
      <c r="V258" s="113" t="str">
        <f t="shared" si="96"/>
        <v>NO</v>
      </c>
      <c r="W258" s="114">
        <f t="shared" si="97"/>
        <v>3338.1848791126281</v>
      </c>
      <c r="X258" s="114">
        <f t="shared" si="98"/>
        <v>235.30408638680214</v>
      </c>
      <c r="Y258" s="114">
        <f t="shared" si="99"/>
        <v>-235.30408638680214</v>
      </c>
      <c r="Z258" s="114">
        <f t="shared" si="100"/>
        <v>-491.72754577927827</v>
      </c>
      <c r="AA258" s="113" t="str">
        <f t="shared" si="101"/>
        <v/>
      </c>
      <c r="AB258" s="100"/>
      <c r="AC258" s="71"/>
      <c r="AD258" s="39"/>
    </row>
    <row r="259" spans="1:30" ht="26.25" x14ac:dyDescent="0.25">
      <c r="A259" s="39"/>
      <c r="B259" s="135"/>
      <c r="C259" s="113">
        <f t="shared" si="114"/>
        <v>-3.5000000000000001E-3</v>
      </c>
      <c r="D259" s="111">
        <f>$D$258</f>
        <v>-2.3635607360183997E-17</v>
      </c>
      <c r="E259" s="111">
        <f>(($C$13+G259-$C$8)/G259*C259)</f>
        <v>-3.0674157303370825E-3</v>
      </c>
      <c r="F259" s="136" t="str">
        <f>IF(((G259-$C$8)/G259*C259)&gt;0,"&gt;0,0000",(G259-$C$8)/G259*C259)</f>
        <v>&gt;0,0000</v>
      </c>
      <c r="G259" s="114">
        <f>($C$13*C259)/(C259-D259)</f>
        <v>356.00000000000244</v>
      </c>
      <c r="H259" s="115">
        <f t="shared" ref="H259:H277" si="115">IF(F259&gt;0,$H$258,(IF(F259&lt;($I$14*10^-3),$I$10*(-$I$12), $H$258-((2*$I$10/(-$I$14)*((-F259*10^3)^2)/2)-($I$10/(-$I$14)^2*(-F259*10^3)^3/3))+(-F259*10^3*$I$10))))</f>
        <v>47.033333333333289</v>
      </c>
      <c r="I259" s="115">
        <f t="shared" ref="I259:I277" si="116">IF(F259&gt;0,I258,(IF(F259&lt;($I$14*10^-3),$I$10/2*(-$I$12)^2,$I$258-((2*$I$10/(-$I$14)*((-F259*10^3)^3)/3)-($I$10/(-$I$14)^2*(-F259*10^3)^4/4))+$I$10/2*((-F259*10^3)^2))))</f>
        <v>96.141666666666509</v>
      </c>
      <c r="J259" s="115">
        <f t="shared" si="112"/>
        <v>0.80952380952380887</v>
      </c>
      <c r="K259" s="115">
        <f t="shared" si="113"/>
        <v>0.41596638655462226</v>
      </c>
      <c r="L259" s="116">
        <f t="shared" si="88"/>
        <v>-491727.54577927204</v>
      </c>
      <c r="M259" s="116">
        <f t="shared" ref="M259:M277" si="117">IF(G259&lt;$C$8,( -$I$16*$C$6*J259*$I$10*G259),( -$I$16*$C$6*J259*$I$10*$C$8))</f>
        <v>-2846457.3333333503</v>
      </c>
      <c r="N259" s="116">
        <f t="shared" si="89"/>
        <v>-6.2151225669656546E-9</v>
      </c>
      <c r="O259" s="116">
        <f t="shared" si="90"/>
        <v>-3338184.8791126283</v>
      </c>
      <c r="P259" s="116">
        <f t="shared" ref="P259:P277" si="118">IF(G259&lt;=$C$8,-M259*($C$8/2-(K259*G259))-L259*($C$13/2)+N259*($C$13/2),-M259*($C$8/2-(K259*$C$8))-L259*($C$13/2)+N259*($C$13/2))</f>
        <v>235304086.38680214</v>
      </c>
      <c r="Q259" s="97">
        <f t="shared" si="91"/>
        <v>0.9493696282000712</v>
      </c>
      <c r="R259" s="117">
        <f t="shared" si="92"/>
        <v>0.1597803416219585</v>
      </c>
      <c r="S259" s="115">
        <f t="shared" si="93"/>
        <v>-0.1597803416219585</v>
      </c>
      <c r="T259" s="115">
        <f t="shared" si="94"/>
        <v>-70.488632268130019</v>
      </c>
      <c r="U259" s="119">
        <f t="shared" si="95"/>
        <v>-0.1980017760340731</v>
      </c>
      <c r="V259" s="113" t="str">
        <f t="shared" si="96"/>
        <v>NO</v>
      </c>
      <c r="W259" s="114">
        <f t="shared" si="97"/>
        <v>3338.1848791126281</v>
      </c>
      <c r="X259" s="114">
        <f t="shared" si="98"/>
        <v>235.30408638680214</v>
      </c>
      <c r="Y259" s="114">
        <f t="shared" si="99"/>
        <v>-235.30408638680214</v>
      </c>
      <c r="Z259" s="114">
        <f t="shared" si="100"/>
        <v>-491.72754577927827</v>
      </c>
      <c r="AA259" s="113" t="str">
        <f t="shared" si="101"/>
        <v/>
      </c>
      <c r="AB259" s="100"/>
      <c r="AC259" s="71"/>
      <c r="AD259" s="39"/>
    </row>
    <row r="260" spans="1:30" ht="18.75" x14ac:dyDescent="0.25">
      <c r="A260" s="39"/>
      <c r="B260" s="39"/>
      <c r="C260" s="113">
        <f t="shared" si="114"/>
        <v>-3.5000000000000001E-3</v>
      </c>
      <c r="D260" s="111">
        <f>D259-0.0001</f>
        <v>-1.0000000000002364E-4</v>
      </c>
      <c r="E260" s="111">
        <f>(($C$13+G260-$C$8)/G260*C260)</f>
        <v>-3.0797752808988791E-3</v>
      </c>
      <c r="F260" s="136" t="str">
        <f>IF(((G260-$C$8)/G260*C260)&gt;0,"&gt;0,0000",(G260-$C$8)/G260*C260)</f>
        <v>&gt;0,0000</v>
      </c>
      <c r="G260" s="114">
        <f>($C$13*C260)/(C260-D260)</f>
        <v>366.47058823529665</v>
      </c>
      <c r="H260" s="115">
        <f t="shared" si="115"/>
        <v>47.033333333333289</v>
      </c>
      <c r="I260" s="115">
        <f t="shared" si="116"/>
        <v>96.141666666666509</v>
      </c>
      <c r="J260" s="115">
        <f t="shared" si="112"/>
        <v>0.80952380952380887</v>
      </c>
      <c r="K260" s="115">
        <f t="shared" si="113"/>
        <v>0.41596638655462226</v>
      </c>
      <c r="L260" s="116">
        <f t="shared" si="88"/>
        <v>-491727.54577927204</v>
      </c>
      <c r="M260" s="116">
        <f t="shared" si="117"/>
        <v>-2930176.6666666842</v>
      </c>
      <c r="N260" s="116">
        <f t="shared" si="89"/>
        <v>-26295.590683389746</v>
      </c>
      <c r="O260" s="116">
        <f t="shared" si="90"/>
        <v>-3448199.8031293461</v>
      </c>
      <c r="P260" s="116">
        <f t="shared" si="118"/>
        <v>222207712.51686826</v>
      </c>
      <c r="Q260" s="97">
        <f t="shared" si="91"/>
        <v>0.9806575380350635</v>
      </c>
      <c r="R260" s="117">
        <f t="shared" si="92"/>
        <v>0.15088741025353711</v>
      </c>
      <c r="S260" s="115">
        <f t="shared" si="93"/>
        <v>-0.15088741025353711</v>
      </c>
      <c r="T260" s="115">
        <f t="shared" si="94"/>
        <v>-64.441658025503045</v>
      </c>
      <c r="U260" s="119">
        <f t="shared" si="95"/>
        <v>-0.18101589333006474</v>
      </c>
      <c r="V260" s="113" t="str">
        <f t="shared" si="96"/>
        <v>SI</v>
      </c>
      <c r="W260" s="114">
        <f t="shared" si="97"/>
        <v>3448.199803129346</v>
      </c>
      <c r="X260" s="114">
        <f t="shared" si="98"/>
        <v>222.20771251686827</v>
      </c>
      <c r="Y260" s="114">
        <f t="shared" si="99"/>
        <v>-222.20771251686827</v>
      </c>
      <c r="Z260" s="114">
        <f t="shared" si="100"/>
        <v>-518.0231364626618</v>
      </c>
      <c r="AA260" s="113" t="str">
        <f t="shared" si="101"/>
        <v/>
      </c>
      <c r="AB260" s="100"/>
      <c r="AC260" s="71"/>
      <c r="AD260" s="39"/>
    </row>
    <row r="261" spans="1:30" ht="18.75" x14ac:dyDescent="0.25">
      <c r="A261" s="39"/>
      <c r="B261" s="39"/>
      <c r="C261" s="113">
        <f t="shared" si="114"/>
        <v>-3.5000000000000001E-3</v>
      </c>
      <c r="D261" s="111">
        <f>D260-0.0001</f>
        <v>-2.0000000000002365E-4</v>
      </c>
      <c r="E261" s="111">
        <f>(($C$13+G261-$C$8)/G261*C261)</f>
        <v>-3.0921348314606771E-3</v>
      </c>
      <c r="F261" s="136" t="str">
        <f>IF(((G261-$C$8)/G261*C261)&gt;0,"&gt;0,0000",(G261-$C$8)/G261*C261)</f>
        <v>&gt;0,0000</v>
      </c>
      <c r="G261" s="114">
        <f>($C$13*C261)/(C261-D261)</f>
        <v>377.57575757576024</v>
      </c>
      <c r="H261" s="115">
        <f t="shared" si="115"/>
        <v>47.033333333333289</v>
      </c>
      <c r="I261" s="115">
        <f t="shared" si="116"/>
        <v>96.141666666666509</v>
      </c>
      <c r="J261" s="115">
        <f t="shared" si="112"/>
        <v>0.80952380952380887</v>
      </c>
      <c r="K261" s="115">
        <f t="shared" si="113"/>
        <v>0.41596638655462226</v>
      </c>
      <c r="L261" s="116">
        <f t="shared" si="88"/>
        <v>-491727.54577927204</v>
      </c>
      <c r="M261" s="116">
        <f t="shared" si="117"/>
        <v>-3018969.8989899177</v>
      </c>
      <c r="N261" s="116">
        <f t="shared" si="89"/>
        <v>-52591.181366773279</v>
      </c>
      <c r="O261" s="116">
        <f t="shared" si="90"/>
        <v>-3563288.626135963</v>
      </c>
      <c r="P261" s="116">
        <f t="shared" si="118"/>
        <v>207804392.05734101</v>
      </c>
      <c r="Q261" s="97">
        <f t="shared" si="91"/>
        <v>1.0133884493130572</v>
      </c>
      <c r="R261" s="117">
        <f t="shared" si="92"/>
        <v>0.14110701290110556</v>
      </c>
      <c r="S261" s="115">
        <f t="shared" si="93"/>
        <v>-0.14110701290110556</v>
      </c>
      <c r="T261" s="115">
        <f t="shared" si="94"/>
        <v>-58.318147604754792</v>
      </c>
      <c r="U261" s="119">
        <f t="shared" si="95"/>
        <v>-0.16381502136167075</v>
      </c>
      <c r="V261" s="113" t="str">
        <f t="shared" si="96"/>
        <v>SI</v>
      </c>
      <c r="W261" s="114">
        <f t="shared" si="97"/>
        <v>3563.2886261359631</v>
      </c>
      <c r="X261" s="114">
        <f t="shared" si="98"/>
        <v>207.804392057341</v>
      </c>
      <c r="Y261" s="114">
        <f t="shared" si="99"/>
        <v>-207.804392057341</v>
      </c>
      <c r="Z261" s="114">
        <f t="shared" si="100"/>
        <v>-544.31872714604526</v>
      </c>
      <c r="AA261" s="113" t="str">
        <f t="shared" si="101"/>
        <v/>
      </c>
      <c r="AB261" s="100"/>
      <c r="AC261" s="71"/>
      <c r="AD261" s="39"/>
    </row>
    <row r="262" spans="1:30" ht="18.75" x14ac:dyDescent="0.25">
      <c r="A262" s="39"/>
      <c r="B262" s="39"/>
      <c r="C262" s="137">
        <f t="shared" si="114"/>
        <v>-3.5000000000000001E-3</v>
      </c>
      <c r="D262" s="137">
        <f t="shared" ref="D262:D277" si="119">(G262-$C$13)/(G262-$C$8+($I$14*10^-3)*$C$8/($I$12*10^-3))*($I$14*10^-3)</f>
        <v>-3.8500000000000041E-4</v>
      </c>
      <c r="E262" s="137">
        <f t="shared" ref="E262:E277" si="120">(G262-$C$10)/(G262-$C$8+($I$14*10^-3)*$C$8/($I$12*10^-3))*($I$14*10^-3)</f>
        <v>-3.1149999999999997E-3</v>
      </c>
      <c r="F262" s="137">
        <f t="shared" ref="F262:F277" si="121">(G262-$C$8)/(G262-$C$8+($I$14*10^-3)*$C$8/($I$12*10^-3))*($I$14*10^-3)</f>
        <v>-4.9737991503206999E-19</v>
      </c>
      <c r="G262" s="138">
        <f t="shared" ref="G262:G277" si="122">($C$8*($I$14*10^-3)*C262/(($I$14*10^-3)-C262))*(1/($I$12*10^-3)-1/($I$14*10^-3))</f>
        <v>400.00000000000006</v>
      </c>
      <c r="H262" s="139">
        <f t="shared" si="115"/>
        <v>47.033333333333296</v>
      </c>
      <c r="I262" s="139">
        <f t="shared" si="116"/>
        <v>96.141666666666509</v>
      </c>
      <c r="J262" s="139">
        <f t="shared" si="112"/>
        <v>0.80952380952380898</v>
      </c>
      <c r="K262" s="139">
        <f t="shared" ref="K262:K277" si="123">1-(I262/H262)/(-$I$12)</f>
        <v>0.41596638655462237</v>
      </c>
      <c r="L262" s="140">
        <f t="shared" si="88"/>
        <v>-491727.54577927204</v>
      </c>
      <c r="M262" s="140">
        <f t="shared" si="117"/>
        <v>-3198266.6666666642</v>
      </c>
      <c r="N262" s="140">
        <f t="shared" si="89"/>
        <v>-101238.0241310267</v>
      </c>
      <c r="O262" s="140">
        <f t="shared" si="90"/>
        <v>-3791232.2365769628</v>
      </c>
      <c r="P262" s="140">
        <f t="shared" si="118"/>
        <v>177011896.75814876</v>
      </c>
      <c r="Q262" s="141">
        <f t="shared" si="91"/>
        <v>1.0782149189460031</v>
      </c>
      <c r="R262" s="141">
        <f t="shared" si="92"/>
        <v>0.12019774823916619</v>
      </c>
      <c r="S262" s="139">
        <f t="shared" si="93"/>
        <v>-0.12019774823916619</v>
      </c>
      <c r="T262" s="139">
        <f t="shared" si="94"/>
        <v>-46.689805770898829</v>
      </c>
      <c r="U262" s="142">
        <f t="shared" si="95"/>
        <v>-0.1311511398058956</v>
      </c>
      <c r="V262" s="143" t="str">
        <f t="shared" si="96"/>
        <v>SI</v>
      </c>
      <c r="W262" s="138">
        <f t="shared" si="97"/>
        <v>3791.2322365769628</v>
      </c>
      <c r="X262" s="138">
        <f t="shared" si="98"/>
        <v>177.01189675814877</v>
      </c>
      <c r="Y262" s="138">
        <f t="shared" si="99"/>
        <v>-177.01189675814877</v>
      </c>
      <c r="Z262" s="138">
        <f t="shared" si="100"/>
        <v>-592.96556991029877</v>
      </c>
      <c r="AA262" s="143" t="str">
        <f t="shared" si="101"/>
        <v/>
      </c>
      <c r="AB262" s="100"/>
      <c r="AC262" s="71"/>
      <c r="AD262" s="39"/>
    </row>
    <row r="263" spans="1:30" ht="26.25" x14ac:dyDescent="0.25">
      <c r="A263" s="39"/>
      <c r="B263" s="144" t="s">
        <v>110</v>
      </c>
      <c r="C263" s="111">
        <f t="shared" ref="C263:C277" si="124">C262+0.0001</f>
        <v>-3.4000000000000002E-3</v>
      </c>
      <c r="D263" s="111">
        <f t="shared" si="119"/>
        <v>-4.9266666666666621E-4</v>
      </c>
      <c r="E263" s="111">
        <f t="shared" si="120"/>
        <v>-3.0406666666666668E-3</v>
      </c>
      <c r="F263" s="111">
        <f t="shared" si="121"/>
        <v>-1.3333333333333274E-4</v>
      </c>
      <c r="G263" s="114">
        <f t="shared" si="122"/>
        <v>416.32653061224482</v>
      </c>
      <c r="H263" s="115">
        <f t="shared" si="115"/>
        <v>49.102390123456736</v>
      </c>
      <c r="I263" s="115">
        <f t="shared" si="116"/>
        <v>96.276434074073919</v>
      </c>
      <c r="J263" s="115">
        <f t="shared" si="112"/>
        <v>0.845135802469135</v>
      </c>
      <c r="K263" s="115">
        <f t="shared" si="123"/>
        <v>0.43979198317167267</v>
      </c>
      <c r="L263" s="96">
        <f t="shared" si="88"/>
        <v>-491727.54577927204</v>
      </c>
      <c r="M263" s="116">
        <f t="shared" si="117"/>
        <v>-3338962.5283950581</v>
      </c>
      <c r="N263" s="96">
        <f t="shared" si="89"/>
        <v>-129549.61010013607</v>
      </c>
      <c r="O263" s="116">
        <f t="shared" si="90"/>
        <v>-3960239.6842744662</v>
      </c>
      <c r="P263" s="116">
        <f t="shared" si="118"/>
        <v>144880597.39039183</v>
      </c>
      <c r="Q263" s="97">
        <f t="shared" si="91"/>
        <v>1.1262801231195578</v>
      </c>
      <c r="R263" s="117">
        <f t="shared" si="92"/>
        <v>9.8379385164509545E-2</v>
      </c>
      <c r="S263" s="115">
        <f t="shared" si="93"/>
        <v>-9.8379385164509545E-2</v>
      </c>
      <c r="T263" s="115">
        <f t="shared" si="94"/>
        <v>-36.583795159088865</v>
      </c>
      <c r="U263" s="119">
        <f t="shared" si="95"/>
        <v>-0.10276346954800243</v>
      </c>
      <c r="V263" s="113" t="str">
        <f t="shared" si="96"/>
        <v>SI</v>
      </c>
      <c r="W263" s="95">
        <f t="shared" si="97"/>
        <v>3960.2396842744661</v>
      </c>
      <c r="X263" s="95">
        <f t="shared" si="98"/>
        <v>144.88059739039181</v>
      </c>
      <c r="Y263" s="95">
        <f t="shared" si="99"/>
        <v>-144.88059739039181</v>
      </c>
      <c r="Z263" s="95">
        <f t="shared" si="100"/>
        <v>-621.27715587940816</v>
      </c>
      <c r="AA263" s="93" t="str">
        <f t="shared" si="101"/>
        <v/>
      </c>
      <c r="AB263" s="100"/>
      <c r="AC263" s="71"/>
      <c r="AD263" s="39"/>
    </row>
    <row r="264" spans="1:30" ht="18.75" x14ac:dyDescent="0.25">
      <c r="A264" s="39"/>
      <c r="B264" s="39"/>
      <c r="C264" s="111">
        <f t="shared" si="124"/>
        <v>-3.3000000000000004E-3</v>
      </c>
      <c r="D264" s="111">
        <f t="shared" si="119"/>
        <v>-6.0033333333333282E-4</v>
      </c>
      <c r="E264" s="111">
        <f t="shared" si="120"/>
        <v>-2.966333333333333E-3</v>
      </c>
      <c r="F264" s="111">
        <f t="shared" si="121"/>
        <v>-2.6666666666666619E-4</v>
      </c>
      <c r="G264" s="114">
        <f t="shared" si="122"/>
        <v>435.1648351648351</v>
      </c>
      <c r="H264" s="115">
        <f t="shared" si="115"/>
        <v>50.896009876543161</v>
      </c>
      <c r="I264" s="115">
        <f t="shared" si="116"/>
        <v>96.632206913580092</v>
      </c>
      <c r="J264" s="115">
        <f t="shared" si="112"/>
        <v>0.87600705467372053</v>
      </c>
      <c r="K264" s="115">
        <f t="shared" si="123"/>
        <v>0.45753700452590762</v>
      </c>
      <c r="L264" s="96">
        <f t="shared" si="88"/>
        <v>-491727.54577927204</v>
      </c>
      <c r="M264" s="96">
        <f t="shared" si="117"/>
        <v>-3460928.6716049346</v>
      </c>
      <c r="N264" s="96">
        <f t="shared" si="89"/>
        <v>-157861.19606924566</v>
      </c>
      <c r="O264" s="96">
        <f t="shared" si="90"/>
        <v>-4110517.4134534523</v>
      </c>
      <c r="P264" s="96">
        <f t="shared" si="118"/>
        <v>118212769.65579145</v>
      </c>
      <c r="Q264" s="97">
        <f t="shared" si="91"/>
        <v>1.1690186523035166</v>
      </c>
      <c r="R264" s="97">
        <f t="shared" si="92"/>
        <v>8.0270925208801011E-2</v>
      </c>
      <c r="S264" s="71">
        <f t="shared" si="93"/>
        <v>-8.0270925208801011E-2</v>
      </c>
      <c r="T264" s="71">
        <f t="shared" si="94"/>
        <v>-28.75861059945613</v>
      </c>
      <c r="U264" s="99">
        <f t="shared" si="95"/>
        <v>-8.0782614043416093E-2</v>
      </c>
      <c r="V264" s="93" t="str">
        <f t="shared" si="96"/>
        <v>SI</v>
      </c>
      <c r="W264" s="95">
        <f t="shared" si="97"/>
        <v>4110.5174134534527</v>
      </c>
      <c r="X264" s="95">
        <f t="shared" si="98"/>
        <v>118.21276965579145</v>
      </c>
      <c r="Y264" s="95">
        <f t="shared" si="99"/>
        <v>-118.21276965579145</v>
      </c>
      <c r="Z264" s="95">
        <f t="shared" si="100"/>
        <v>-649.58874184851766</v>
      </c>
      <c r="AA264" s="93" t="str">
        <f t="shared" si="101"/>
        <v/>
      </c>
      <c r="AB264" s="100"/>
      <c r="AC264" s="71"/>
      <c r="AD264" s="39"/>
    </row>
    <row r="265" spans="1:30" ht="18.75" x14ac:dyDescent="0.25">
      <c r="A265" s="39"/>
      <c r="B265" s="39"/>
      <c r="C265" s="111">
        <f t="shared" si="124"/>
        <v>-3.2000000000000006E-3</v>
      </c>
      <c r="D265" s="111">
        <f t="shared" si="119"/>
        <v>-7.0799999999999943E-4</v>
      </c>
      <c r="E265" s="111">
        <f t="shared" si="120"/>
        <v>-2.8920000000000009E-3</v>
      </c>
      <c r="F265" s="111">
        <f t="shared" si="121"/>
        <v>-3.9999999999999921E-4</v>
      </c>
      <c r="G265" s="114">
        <f t="shared" si="122"/>
        <v>457.142857142857</v>
      </c>
      <c r="H265" s="115">
        <f t="shared" si="115"/>
        <v>52.43386666666661</v>
      </c>
      <c r="I265" s="115">
        <f t="shared" si="116"/>
        <v>97.142093333333165</v>
      </c>
      <c r="J265" s="115">
        <f t="shared" si="112"/>
        <v>0.90247619047618954</v>
      </c>
      <c r="K265" s="115">
        <f t="shared" si="123"/>
        <v>0.47066875716094825</v>
      </c>
      <c r="L265" s="96">
        <f t="shared" si="88"/>
        <v>-491727.54577927204</v>
      </c>
      <c r="M265" s="96">
        <f t="shared" si="117"/>
        <v>-3565502.9333333294</v>
      </c>
      <c r="N265" s="96">
        <f t="shared" si="89"/>
        <v>-186172.78203835525</v>
      </c>
      <c r="O265" s="96">
        <f t="shared" si="90"/>
        <v>-4243403.2611509562</v>
      </c>
      <c r="P265" s="96">
        <f t="shared" si="118"/>
        <v>96221000.898263648</v>
      </c>
      <c r="Q265" s="97">
        <f t="shared" si="91"/>
        <v>1.20681098328285</v>
      </c>
      <c r="R265" s="97">
        <f t="shared" si="92"/>
        <v>6.5337685506483653E-2</v>
      </c>
      <c r="S265" s="71">
        <f t="shared" si="93"/>
        <v>-6.5337685506483653E-2</v>
      </c>
      <c r="T265" s="71">
        <f t="shared" si="94"/>
        <v>-22.675431717551451</v>
      </c>
      <c r="U265" s="99">
        <f t="shared" si="95"/>
        <v>-6.3695032914470373E-2</v>
      </c>
      <c r="V265" s="93" t="str">
        <f t="shared" si="96"/>
        <v>SI</v>
      </c>
      <c r="W265" s="95">
        <f t="shared" si="97"/>
        <v>4243.4032611509565</v>
      </c>
      <c r="X265" s="95">
        <f t="shared" si="98"/>
        <v>96.221000898263654</v>
      </c>
      <c r="Y265" s="95">
        <f t="shared" si="99"/>
        <v>-96.221000898263654</v>
      </c>
      <c r="Z265" s="95">
        <f t="shared" si="100"/>
        <v>-677.90032781762727</v>
      </c>
      <c r="AA265" s="93" t="str">
        <f t="shared" si="101"/>
        <v/>
      </c>
      <c r="AB265" s="100"/>
      <c r="AC265" s="71"/>
      <c r="AD265" s="39"/>
    </row>
    <row r="266" spans="1:30" ht="18.75" x14ac:dyDescent="0.25">
      <c r="A266" s="39"/>
      <c r="B266" s="39"/>
      <c r="C266" s="111">
        <f t="shared" si="124"/>
        <v>-3.1000000000000008E-3</v>
      </c>
      <c r="D266" s="111">
        <f t="shared" si="119"/>
        <v>-8.1566666666666615E-4</v>
      </c>
      <c r="E266" s="111">
        <f t="shared" si="120"/>
        <v>-2.8176666666666671E-3</v>
      </c>
      <c r="F266" s="111">
        <f t="shared" si="121"/>
        <v>-5.333333333333326E-4</v>
      </c>
      <c r="G266" s="114">
        <f t="shared" si="122"/>
        <v>483.11688311688295</v>
      </c>
      <c r="H266" s="115">
        <f t="shared" si="115"/>
        <v>53.73563456790118</v>
      </c>
      <c r="I266" s="115">
        <f t="shared" si="116"/>
        <v>97.747071111110955</v>
      </c>
      <c r="J266" s="115">
        <f t="shared" si="112"/>
        <v>0.92488183421516668</v>
      </c>
      <c r="K266" s="115">
        <f t="shared" si="123"/>
        <v>0.48027533632482478</v>
      </c>
      <c r="L266" s="96">
        <f t="shared" si="88"/>
        <v>-491727.54577927204</v>
      </c>
      <c r="M266" s="96">
        <f t="shared" si="117"/>
        <v>-3654023.150617281</v>
      </c>
      <c r="N266" s="96">
        <f t="shared" si="89"/>
        <v>-214484.36800746486</v>
      </c>
      <c r="O266" s="96">
        <f t="shared" si="90"/>
        <v>-4360235.0644040182</v>
      </c>
      <c r="P266" s="96">
        <f t="shared" si="118"/>
        <v>78179036.726273641</v>
      </c>
      <c r="Q266" s="97">
        <f t="shared" si="91"/>
        <v>1.2400375928425302</v>
      </c>
      <c r="R266" s="97">
        <f t="shared" si="92"/>
        <v>5.3086511958256713E-2</v>
      </c>
      <c r="S266" s="71">
        <f t="shared" si="93"/>
        <v>-5.3086511958256713E-2</v>
      </c>
      <c r="T266" s="71">
        <f t="shared" si="94"/>
        <v>-17.93000505053266</v>
      </c>
      <c r="U266" s="99">
        <f t="shared" si="95"/>
        <v>-5.0365182726215339E-2</v>
      </c>
      <c r="V266" s="93" t="str">
        <f t="shared" si="96"/>
        <v>SI</v>
      </c>
      <c r="W266" s="95">
        <f t="shared" si="97"/>
        <v>4360.235064404018</v>
      </c>
      <c r="X266" s="95">
        <f t="shared" si="98"/>
        <v>78.179036726273637</v>
      </c>
      <c r="Y266" s="95">
        <f t="shared" si="99"/>
        <v>-78.179036726273637</v>
      </c>
      <c r="Z266" s="95">
        <f t="shared" si="100"/>
        <v>-706.21191378673689</v>
      </c>
      <c r="AA266" s="93" t="str">
        <f t="shared" si="101"/>
        <v/>
      </c>
      <c r="AB266" s="100"/>
      <c r="AC266" s="71"/>
      <c r="AD266" s="39"/>
    </row>
    <row r="267" spans="1:30" ht="18.75" x14ac:dyDescent="0.25">
      <c r="A267" s="39"/>
      <c r="B267" s="39"/>
      <c r="C267" s="111">
        <f t="shared" si="124"/>
        <v>-3.0000000000000009E-3</v>
      </c>
      <c r="D267" s="111">
        <f t="shared" si="119"/>
        <v>-9.2333333333333276E-4</v>
      </c>
      <c r="E267" s="111">
        <f t="shared" si="120"/>
        <v>-2.7433333333333342E-3</v>
      </c>
      <c r="F267" s="111">
        <f t="shared" si="121"/>
        <v>-6.6666666666666599E-4</v>
      </c>
      <c r="G267" s="114">
        <f t="shared" si="122"/>
        <v>514.28571428571411</v>
      </c>
      <c r="H267" s="115">
        <f t="shared" si="115"/>
        <v>54.820987654320938</v>
      </c>
      <c r="I267" s="115">
        <f t="shared" si="116"/>
        <v>98.395987654320834</v>
      </c>
      <c r="J267" s="115">
        <f t="shared" si="112"/>
        <v>0.94356261022927612</v>
      </c>
      <c r="K267" s="115">
        <f t="shared" si="123"/>
        <v>0.48718291054739693</v>
      </c>
      <c r="L267" s="96">
        <f t="shared" si="88"/>
        <v>-491727.54577927204</v>
      </c>
      <c r="M267" s="96">
        <f t="shared" si="117"/>
        <v>-3727827.1604938237</v>
      </c>
      <c r="N267" s="96">
        <f t="shared" si="89"/>
        <v>-242795.95397657444</v>
      </c>
      <c r="O267" s="96">
        <f t="shared" si="90"/>
        <v>-4462350.66024967</v>
      </c>
      <c r="P267" s="96">
        <f t="shared" si="118"/>
        <v>63421781.012837209</v>
      </c>
      <c r="Q267" s="97">
        <f t="shared" si="91"/>
        <v>1.2690789577675268</v>
      </c>
      <c r="R267" s="97">
        <f t="shared" si="92"/>
        <v>4.3065779231076483E-2</v>
      </c>
      <c r="S267" s="71">
        <f t="shared" si="93"/>
        <v>-4.3065779231076483E-2</v>
      </c>
      <c r="T267" s="71">
        <f t="shared" si="94"/>
        <v>-14.212639445347564</v>
      </c>
      <c r="U267" s="99">
        <f t="shared" si="95"/>
        <v>-3.992314450940327E-2</v>
      </c>
      <c r="V267" s="93" t="str">
        <f t="shared" si="96"/>
        <v>SI</v>
      </c>
      <c r="W267" s="95">
        <f t="shared" si="97"/>
        <v>4462.35066024967</v>
      </c>
      <c r="X267" s="95">
        <f t="shared" si="98"/>
        <v>63.421781012837208</v>
      </c>
      <c r="Y267" s="95">
        <f t="shared" si="99"/>
        <v>-63.421781012837208</v>
      </c>
      <c r="Z267" s="95">
        <f t="shared" si="100"/>
        <v>-734.5234997558465</v>
      </c>
      <c r="AA267" s="93" t="str">
        <f t="shared" si="101"/>
        <v/>
      </c>
      <c r="AB267" s="100"/>
      <c r="AC267" s="71"/>
      <c r="AD267" s="39"/>
    </row>
    <row r="268" spans="1:30" ht="18.75" x14ac:dyDescent="0.25">
      <c r="A268" s="39"/>
      <c r="B268" s="39"/>
      <c r="C268" s="111">
        <f t="shared" si="124"/>
        <v>-2.9000000000000011E-3</v>
      </c>
      <c r="D268" s="111">
        <f t="shared" si="119"/>
        <v>-1.0309999999999991E-3</v>
      </c>
      <c r="E268" s="111">
        <f t="shared" si="120"/>
        <v>-2.6690000000000008E-3</v>
      </c>
      <c r="F268" s="111">
        <f t="shared" si="121"/>
        <v>-7.9999999999999874E-4</v>
      </c>
      <c r="G268" s="114">
        <f t="shared" si="122"/>
        <v>552.38095238095195</v>
      </c>
      <c r="H268" s="115">
        <f t="shared" si="115"/>
        <v>55.709599999999952</v>
      </c>
      <c r="I268" s="115">
        <f t="shared" si="116"/>
        <v>99.045559999999838</v>
      </c>
      <c r="J268" s="115">
        <f t="shared" si="112"/>
        <v>0.95885714285714208</v>
      </c>
      <c r="K268" s="115">
        <f t="shared" si="123"/>
        <v>0.49203132981440534</v>
      </c>
      <c r="L268" s="96">
        <f t="shared" si="88"/>
        <v>-491727.54577927204</v>
      </c>
      <c r="M268" s="96">
        <f t="shared" si="117"/>
        <v>-3788252.7999999961</v>
      </c>
      <c r="N268" s="96">
        <f t="shared" si="89"/>
        <v>-271107.53994568397</v>
      </c>
      <c r="O268" s="96">
        <f t="shared" si="90"/>
        <v>-4551087.8857249524</v>
      </c>
      <c r="P268" s="96">
        <f t="shared" si="118"/>
        <v>51345295.895520896</v>
      </c>
      <c r="Q268" s="97">
        <f t="shared" si="91"/>
        <v>1.2943155548428118</v>
      </c>
      <c r="R268" s="97">
        <f t="shared" si="92"/>
        <v>3.4865390758156506E-2</v>
      </c>
      <c r="S268" s="71">
        <f t="shared" si="93"/>
        <v>-3.4865390758156506E-2</v>
      </c>
      <c r="T268" s="71">
        <f t="shared" si="94"/>
        <v>-11.281982942270075</v>
      </c>
      <c r="U268" s="99">
        <f t="shared" si="95"/>
        <v>-3.1690963320983354E-2</v>
      </c>
      <c r="V268" s="93" t="str">
        <f t="shared" si="96"/>
        <v>SI</v>
      </c>
      <c r="W268" s="95">
        <f t="shared" si="97"/>
        <v>4551.0878857249527</v>
      </c>
      <c r="X268" s="95">
        <f t="shared" si="98"/>
        <v>51.345295895520898</v>
      </c>
      <c r="Y268" s="95">
        <f t="shared" si="99"/>
        <v>-51.345295895520898</v>
      </c>
      <c r="Z268" s="95">
        <f t="shared" si="100"/>
        <v>-762.835085724956</v>
      </c>
      <c r="AA268" s="93" t="str">
        <f t="shared" si="101"/>
        <v/>
      </c>
      <c r="AB268" s="100"/>
      <c r="AC268" s="71"/>
      <c r="AD268" s="39"/>
    </row>
    <row r="269" spans="1:30" ht="18.75" x14ac:dyDescent="0.25">
      <c r="A269" s="39"/>
      <c r="B269" s="39"/>
      <c r="C269" s="111">
        <f t="shared" si="124"/>
        <v>-2.8000000000000013E-3</v>
      </c>
      <c r="D269" s="111">
        <f t="shared" si="119"/>
        <v>-1.1386666666666654E-3</v>
      </c>
      <c r="E269" s="111">
        <f t="shared" si="120"/>
        <v>-2.5946666666666679E-3</v>
      </c>
      <c r="F269" s="111">
        <f t="shared" si="121"/>
        <v>-9.333333333333317E-4</v>
      </c>
      <c r="G269" s="114">
        <f t="shared" si="122"/>
        <v>599.99999999999932</v>
      </c>
      <c r="H269" s="115">
        <f t="shared" si="115"/>
        <v>56.421145679012291</v>
      </c>
      <c r="I269" s="115">
        <f t="shared" si="116"/>
        <v>99.660374814814645</v>
      </c>
      <c r="J269" s="115">
        <f t="shared" si="112"/>
        <v>0.97110405643738895</v>
      </c>
      <c r="K269" s="115">
        <f t="shared" si="123"/>
        <v>0.4953240941574012</v>
      </c>
      <c r="L269" s="96">
        <f t="shared" si="88"/>
        <v>-491727.54577927204</v>
      </c>
      <c r="M269" s="96">
        <f t="shared" si="117"/>
        <v>-3836637.9061728353</v>
      </c>
      <c r="N269" s="96">
        <f t="shared" si="89"/>
        <v>-299419.12591479346</v>
      </c>
      <c r="O269" s="96">
        <f t="shared" si="90"/>
        <v>-4627784.5778669007</v>
      </c>
      <c r="P269" s="96">
        <f t="shared" si="118"/>
        <v>41406801.776441045</v>
      </c>
      <c r="Q269" s="97">
        <f t="shared" si="91"/>
        <v>1.3161278608533562</v>
      </c>
      <c r="R269" s="97">
        <f t="shared" si="92"/>
        <v>2.8116778738966897E-2</v>
      </c>
      <c r="S269" s="71">
        <f t="shared" si="93"/>
        <v>-2.8116778738966897E-2</v>
      </c>
      <c r="T269" s="71">
        <f t="shared" si="94"/>
        <v>-8.9474350155526921</v>
      </c>
      <c r="U269" s="99">
        <f t="shared" si="95"/>
        <v>-2.513324442570981E-2</v>
      </c>
      <c r="V269" s="93" t="str">
        <f t="shared" si="96"/>
        <v>SI</v>
      </c>
      <c r="W269" s="95">
        <f t="shared" si="97"/>
        <v>4627.7845778669007</v>
      </c>
      <c r="X269" s="95">
        <f t="shared" si="98"/>
        <v>41.406801776441043</v>
      </c>
      <c r="Y269" s="95">
        <f t="shared" si="99"/>
        <v>-41.406801776441043</v>
      </c>
      <c r="Z269" s="95">
        <f t="shared" si="100"/>
        <v>-791.14667169406539</v>
      </c>
      <c r="AA269" s="93" t="str">
        <f t="shared" si="101"/>
        <v/>
      </c>
      <c r="AB269" s="100"/>
      <c r="AC269" s="71"/>
      <c r="AD269" s="39"/>
    </row>
    <row r="270" spans="1:30" ht="18.75" x14ac:dyDescent="0.25">
      <c r="A270" s="39"/>
      <c r="B270" s="39"/>
      <c r="C270" s="111">
        <f t="shared" si="124"/>
        <v>-2.7000000000000014E-3</v>
      </c>
      <c r="D270" s="111">
        <f t="shared" si="119"/>
        <v>-1.2463333333333319E-3</v>
      </c>
      <c r="E270" s="111">
        <f t="shared" si="120"/>
        <v>-2.5203333333333345E-3</v>
      </c>
      <c r="F270" s="111">
        <f t="shared" si="121"/>
        <v>-1.066666666666665E-3</v>
      </c>
      <c r="G270" s="114">
        <f t="shared" si="122"/>
        <v>661.22448979591741</v>
      </c>
      <c r="H270" s="115">
        <f t="shared" si="115"/>
        <v>56.975298765432044</v>
      </c>
      <c r="I270" s="115">
        <f t="shared" si="116"/>
        <v>100.21288839506155</v>
      </c>
      <c r="J270" s="115">
        <f t="shared" si="112"/>
        <v>0.98064197530864117</v>
      </c>
      <c r="K270" s="115">
        <f t="shared" si="123"/>
        <v>0.49746198005841513</v>
      </c>
      <c r="L270" s="96">
        <f t="shared" si="88"/>
        <v>-491727.54577927204</v>
      </c>
      <c r="M270" s="96">
        <f t="shared" si="117"/>
        <v>-3874320.3160493788</v>
      </c>
      <c r="N270" s="96">
        <f t="shared" si="89"/>
        <v>-327730.71188390302</v>
      </c>
      <c r="O270" s="96">
        <f t="shared" si="90"/>
        <v>-4693778.5737125538</v>
      </c>
      <c r="P270" s="96">
        <f t="shared" si="118"/>
        <v>33124677.322263978</v>
      </c>
      <c r="Q270" s="97">
        <f t="shared" si="91"/>
        <v>1.3348963525841315</v>
      </c>
      <c r="R270" s="97">
        <f t="shared" si="92"/>
        <v>2.2492904139234438E-2</v>
      </c>
      <c r="S270" s="71">
        <f t="shared" si="93"/>
        <v>-2.2492904139234438E-2</v>
      </c>
      <c r="T270" s="71">
        <f t="shared" si="94"/>
        <v>-7.0571452832859025</v>
      </c>
      <c r="U270" s="99">
        <f t="shared" si="95"/>
        <v>-1.9823441806982874E-2</v>
      </c>
      <c r="V270" s="93" t="str">
        <f t="shared" si="96"/>
        <v>SI</v>
      </c>
      <c r="W270" s="95">
        <f t="shared" si="97"/>
        <v>4693.7785737125541</v>
      </c>
      <c r="X270" s="95">
        <f t="shared" si="98"/>
        <v>33.124677322263977</v>
      </c>
      <c r="Y270" s="95">
        <f t="shared" si="99"/>
        <v>-33.124677322263977</v>
      </c>
      <c r="Z270" s="95">
        <f t="shared" si="100"/>
        <v>-819.458257663175</v>
      </c>
      <c r="AA270" s="93" t="str">
        <f t="shared" si="101"/>
        <v/>
      </c>
      <c r="AB270" s="100"/>
      <c r="AC270" s="71"/>
      <c r="AD270" s="39"/>
    </row>
    <row r="271" spans="1:30" ht="18.75" x14ac:dyDescent="0.25">
      <c r="A271" s="39"/>
      <c r="B271" s="39"/>
      <c r="C271" s="111">
        <f t="shared" si="124"/>
        <v>-2.6000000000000016E-3</v>
      </c>
      <c r="D271" s="111">
        <f t="shared" si="119"/>
        <v>-1.3539999999999984E-3</v>
      </c>
      <c r="E271" s="111">
        <f t="shared" si="120"/>
        <v>-2.4460000000000011E-3</v>
      </c>
      <c r="F271" s="111">
        <f t="shared" si="121"/>
        <v>-1.1999999999999979E-3</v>
      </c>
      <c r="G271" s="114">
        <f t="shared" si="122"/>
        <v>742.85714285714141</v>
      </c>
      <c r="H271" s="115">
        <f t="shared" si="115"/>
        <v>57.391733333333278</v>
      </c>
      <c r="I271" s="115">
        <f t="shared" si="116"/>
        <v>100.68342666666651</v>
      </c>
      <c r="J271" s="115">
        <f t="shared" si="112"/>
        <v>0.98780952380952292</v>
      </c>
      <c r="K271" s="115">
        <f t="shared" si="123"/>
        <v>0.49876590821442379</v>
      </c>
      <c r="L271" s="96">
        <f t="shared" si="88"/>
        <v>-491727.54577927204</v>
      </c>
      <c r="M271" s="96">
        <f t="shared" si="117"/>
        <v>-3902637.8666666625</v>
      </c>
      <c r="N271" s="96">
        <f t="shared" si="89"/>
        <v>-356042.29785301257</v>
      </c>
      <c r="O271" s="96">
        <f t="shared" si="90"/>
        <v>-4750407.7102989471</v>
      </c>
      <c r="P271" s="96">
        <f t="shared" si="118"/>
        <v>26078459.464207016</v>
      </c>
      <c r="Q271" s="97">
        <f t="shared" si="91"/>
        <v>1.3510015068201087</v>
      </c>
      <c r="R271" s="97">
        <f t="shared" si="92"/>
        <v>1.7708256690943319E-2</v>
      </c>
      <c r="S271" s="71">
        <f t="shared" si="93"/>
        <v>-1.7708256690943319E-2</v>
      </c>
      <c r="T271" s="99">
        <f t="shared" si="94"/>
        <v>-5.489730788300248</v>
      </c>
      <c r="U271" s="99">
        <f t="shared" si="95"/>
        <v>-1.5420592101966989E-2</v>
      </c>
      <c r="V271" s="93" t="str">
        <f t="shared" si="96"/>
        <v>SI</v>
      </c>
      <c r="W271" s="95">
        <f t="shared" si="97"/>
        <v>4750.4077102989468</v>
      </c>
      <c r="X271" s="95">
        <f t="shared" si="98"/>
        <v>26.078459464207015</v>
      </c>
      <c r="Y271" s="95">
        <f t="shared" si="99"/>
        <v>-26.078459464207015</v>
      </c>
      <c r="Z271" s="95">
        <f t="shared" si="100"/>
        <v>-847.76984363228451</v>
      </c>
      <c r="AA271" s="93" t="str">
        <f t="shared" si="101"/>
        <v/>
      </c>
      <c r="AB271" s="100"/>
      <c r="AC271" s="71"/>
      <c r="AD271" s="39"/>
    </row>
    <row r="272" spans="1:30" ht="18.75" x14ac:dyDescent="0.25">
      <c r="A272" s="39"/>
      <c r="B272" s="39"/>
      <c r="C272" s="111">
        <f t="shared" si="124"/>
        <v>-2.5000000000000018E-3</v>
      </c>
      <c r="D272" s="111">
        <f t="shared" si="119"/>
        <v>-1.4616666666666649E-3</v>
      </c>
      <c r="E272" s="111">
        <f t="shared" si="120"/>
        <v>-2.3716666666666678E-3</v>
      </c>
      <c r="F272" s="111">
        <f t="shared" si="121"/>
        <v>-1.3333333333333311E-3</v>
      </c>
      <c r="G272" s="114">
        <f t="shared" si="122"/>
        <v>857.14285714285472</v>
      </c>
      <c r="H272" s="115">
        <f t="shared" si="115"/>
        <v>57.690123456790076</v>
      </c>
      <c r="I272" s="115">
        <f t="shared" si="116"/>
        <v>101.06018518518502</v>
      </c>
      <c r="J272" s="115">
        <f t="shared" si="112"/>
        <v>0.99294532627865884</v>
      </c>
      <c r="K272" s="115">
        <f t="shared" si="123"/>
        <v>0.49949251459020594</v>
      </c>
      <c r="L272" s="96">
        <f t="shared" si="88"/>
        <v>-491727.54577927204</v>
      </c>
      <c r="M272" s="96">
        <f t="shared" si="117"/>
        <v>-3922928.3950617248</v>
      </c>
      <c r="N272" s="96">
        <f t="shared" si="89"/>
        <v>-384353.88382212212</v>
      </c>
      <c r="O272" s="96">
        <f t="shared" si="90"/>
        <v>-4799009.8246631194</v>
      </c>
      <c r="P272" s="96">
        <f t="shared" si="118"/>
        <v>19908843.398036942</v>
      </c>
      <c r="Q272" s="97">
        <f t="shared" si="91"/>
        <v>1.3648238003462589</v>
      </c>
      <c r="R272" s="97">
        <f t="shared" si="92"/>
        <v>1.3518854892334056E-2</v>
      </c>
      <c r="S272" s="71">
        <f t="shared" si="93"/>
        <v>-1.3518854892334056E-2</v>
      </c>
      <c r="T272" s="99">
        <f t="shared" si="94"/>
        <v>-4.14853149408472</v>
      </c>
      <c r="U272" s="99">
        <f t="shared" si="95"/>
        <v>-1.1653178354170561E-2</v>
      </c>
      <c r="V272" s="93" t="str">
        <f t="shared" si="96"/>
        <v>SI</v>
      </c>
      <c r="W272" s="95">
        <f t="shared" si="97"/>
        <v>4799.0098246631196</v>
      </c>
      <c r="X272" s="95">
        <f t="shared" si="98"/>
        <v>19.908843398036943</v>
      </c>
      <c r="Y272" s="95">
        <f t="shared" si="99"/>
        <v>-19.908843398036943</v>
      </c>
      <c r="Z272" s="95">
        <f t="shared" si="100"/>
        <v>-876.08142960139412</v>
      </c>
      <c r="AA272" s="93" t="str">
        <f t="shared" si="101"/>
        <v/>
      </c>
      <c r="AB272" s="100"/>
      <c r="AC272" s="71"/>
      <c r="AD272" s="39"/>
    </row>
    <row r="273" spans="1:30" ht="18.75" x14ac:dyDescent="0.25">
      <c r="A273" s="39"/>
      <c r="B273" s="39"/>
      <c r="C273" s="111">
        <f t="shared" si="124"/>
        <v>-2.400000000000002E-3</v>
      </c>
      <c r="D273" s="111">
        <f t="shared" si="119"/>
        <v>-1.5693333333333312E-3</v>
      </c>
      <c r="E273" s="111">
        <f t="shared" si="120"/>
        <v>-2.2973333333333348E-3</v>
      </c>
      <c r="F273" s="111">
        <f t="shared" si="121"/>
        <v>-1.4666666666666641E-3</v>
      </c>
      <c r="G273" s="114">
        <f t="shared" si="122"/>
        <v>1028.5714285714246</v>
      </c>
      <c r="H273" s="115">
        <f t="shared" si="115"/>
        <v>57.890143209876491</v>
      </c>
      <c r="I273" s="115">
        <f t="shared" si="116"/>
        <v>101.33922913580231</v>
      </c>
      <c r="J273" s="115">
        <f t="shared" si="112"/>
        <v>0.9963880070546729</v>
      </c>
      <c r="K273" s="115">
        <f t="shared" si="123"/>
        <v>0.4998446391400132</v>
      </c>
      <c r="L273" s="96">
        <f t="shared" si="88"/>
        <v>-491727.54577927204</v>
      </c>
      <c r="M273" s="96">
        <f t="shared" si="117"/>
        <v>-3936529.7382716015</v>
      </c>
      <c r="N273" s="96">
        <f t="shared" si="89"/>
        <v>-412665.46979123162</v>
      </c>
      <c r="O273" s="96">
        <f t="shared" si="90"/>
        <v>-4840922.7538421052</v>
      </c>
      <c r="P273" s="96">
        <f t="shared" si="118"/>
        <v>14317682.584071845</v>
      </c>
      <c r="Q273" s="97">
        <f t="shared" si="91"/>
        <v>1.3767437099475532</v>
      </c>
      <c r="R273" s="97">
        <f t="shared" si="92"/>
        <v>9.722246007904764E-3</v>
      </c>
      <c r="S273" s="71">
        <f t="shared" si="93"/>
        <v>-9.722246007904764E-3</v>
      </c>
      <c r="T273" s="99">
        <f t="shared" si="94"/>
        <v>-2.9576350031010721</v>
      </c>
      <c r="U273" s="99">
        <f t="shared" si="95"/>
        <v>-8.3079634918569439E-3</v>
      </c>
      <c r="V273" s="93" t="str">
        <f t="shared" si="96"/>
        <v>SI</v>
      </c>
      <c r="W273" s="95">
        <f t="shared" si="97"/>
        <v>4840.9227538421055</v>
      </c>
      <c r="X273" s="95">
        <f t="shared" si="98"/>
        <v>14.317682584071845</v>
      </c>
      <c r="Y273" s="95">
        <f t="shared" si="99"/>
        <v>-14.317682584071845</v>
      </c>
      <c r="Z273" s="95">
        <f t="shared" si="100"/>
        <v>-904.39301557050362</v>
      </c>
      <c r="AA273" s="93" t="str">
        <f t="shared" si="101"/>
        <v/>
      </c>
      <c r="AB273" s="100"/>
      <c r="AC273" s="71"/>
      <c r="AD273" s="39"/>
    </row>
    <row r="274" spans="1:30" ht="18.75" x14ac:dyDescent="0.25">
      <c r="A274" s="39"/>
      <c r="B274" s="39"/>
      <c r="C274" s="111">
        <f t="shared" si="124"/>
        <v>-2.3000000000000021E-3</v>
      </c>
      <c r="D274" s="111">
        <f t="shared" si="119"/>
        <v>-1.6769999999999977E-3</v>
      </c>
      <c r="E274" s="111">
        <f t="shared" si="120"/>
        <v>-2.2230000000000015E-3</v>
      </c>
      <c r="F274" s="111">
        <f t="shared" si="121"/>
        <v>-1.599999999999997E-3</v>
      </c>
      <c r="G274" s="114">
        <f t="shared" si="122"/>
        <v>1314.2857142857063</v>
      </c>
      <c r="H274" s="115">
        <f t="shared" si="115"/>
        <v>58.011466666666621</v>
      </c>
      <c r="I274" s="115">
        <f t="shared" si="116"/>
        <v>101.52449333333318</v>
      </c>
      <c r="J274" s="115">
        <f t="shared" si="112"/>
        <v>0.99847619047618974</v>
      </c>
      <c r="K274" s="115">
        <f t="shared" si="123"/>
        <v>0.49997819807052957</v>
      </c>
      <c r="L274" s="96">
        <f t="shared" si="88"/>
        <v>-491727.54577927204</v>
      </c>
      <c r="M274" s="96">
        <f t="shared" si="117"/>
        <v>-3944779.7333333301</v>
      </c>
      <c r="N274" s="96">
        <f t="shared" si="89"/>
        <v>-440977.05576034123</v>
      </c>
      <c r="O274" s="96">
        <f t="shared" si="90"/>
        <v>-4877484.3348729443</v>
      </c>
      <c r="P274" s="96">
        <f t="shared" si="118"/>
        <v>9067988.7471787184</v>
      </c>
      <c r="Q274" s="97">
        <f t="shared" si="91"/>
        <v>1.3871417124089631</v>
      </c>
      <c r="R274" s="97">
        <f t="shared" si="92"/>
        <v>6.1575060684095151E-3</v>
      </c>
      <c r="S274" s="71">
        <f t="shared" si="93"/>
        <v>-6.1575060684095151E-3</v>
      </c>
      <c r="T274" s="99">
        <f t="shared" si="94"/>
        <v>-1.8591528182560395</v>
      </c>
      <c r="U274" s="99">
        <f t="shared" si="95"/>
        <v>-5.2223393771237067E-3</v>
      </c>
      <c r="V274" s="93" t="str">
        <f t="shared" si="96"/>
        <v>SI</v>
      </c>
      <c r="W274" s="95">
        <f t="shared" si="97"/>
        <v>4877.4843348729446</v>
      </c>
      <c r="X274" s="95">
        <f t="shared" si="98"/>
        <v>9.0679887471787186</v>
      </c>
      <c r="Y274" s="95">
        <f t="shared" si="99"/>
        <v>-9.0679887471787186</v>
      </c>
      <c r="Z274" s="95">
        <f t="shared" si="100"/>
        <v>-932.70460153961324</v>
      </c>
      <c r="AA274" s="93" t="str">
        <f t="shared" si="101"/>
        <v/>
      </c>
      <c r="AB274" s="100"/>
      <c r="AC274" s="71"/>
      <c r="AD274" s="39"/>
    </row>
    <row r="275" spans="1:30" ht="18.75" x14ac:dyDescent="0.25">
      <c r="A275" s="39"/>
      <c r="B275" s="39"/>
      <c r="C275" s="111">
        <f t="shared" si="124"/>
        <v>-2.2000000000000023E-3</v>
      </c>
      <c r="D275" s="111">
        <f t="shared" si="119"/>
        <v>-1.7846666666666642E-3</v>
      </c>
      <c r="E275" s="111">
        <f t="shared" si="120"/>
        <v>-2.1486666666666681E-3</v>
      </c>
      <c r="F275" s="111">
        <f t="shared" si="121"/>
        <v>-1.7333333333333302E-3</v>
      </c>
      <c r="G275" s="114">
        <f t="shared" si="122"/>
        <v>1885.7142857142665</v>
      </c>
      <c r="H275" s="115">
        <f t="shared" si="115"/>
        <v>58.073767901234518</v>
      </c>
      <c r="I275" s="115">
        <f t="shared" si="116"/>
        <v>101.62778222222207</v>
      </c>
      <c r="J275" s="115">
        <f t="shared" si="112"/>
        <v>0.99954850088183345</v>
      </c>
      <c r="K275" s="115">
        <f t="shared" si="123"/>
        <v>0.50000645290088175</v>
      </c>
      <c r="L275" s="96">
        <f t="shared" si="88"/>
        <v>-491727.54577927204</v>
      </c>
      <c r="M275" s="116">
        <f t="shared" si="117"/>
        <v>-3949016.2172839469</v>
      </c>
      <c r="N275" s="96">
        <f t="shared" si="89"/>
        <v>-469288.64172945078</v>
      </c>
      <c r="O275" s="116">
        <f t="shared" si="90"/>
        <v>-4910032.4047926702</v>
      </c>
      <c r="P275" s="116">
        <f t="shared" si="118"/>
        <v>3983931.8767760098</v>
      </c>
      <c r="Q275" s="97">
        <f t="shared" si="91"/>
        <v>1.396398284515459</v>
      </c>
      <c r="R275" s="97">
        <f t="shared" si="92"/>
        <v>2.7052398708600771E-3</v>
      </c>
      <c r="S275" s="71">
        <f t="shared" si="93"/>
        <v>-2.7052398708600771E-3</v>
      </c>
      <c r="T275" s="99">
        <f t="shared" si="94"/>
        <v>-0.81138606598345542</v>
      </c>
      <c r="U275" s="99">
        <f t="shared" si="95"/>
        <v>-2.2791743426501558E-3</v>
      </c>
      <c r="V275" s="93" t="str">
        <f t="shared" si="96"/>
        <v>SI</v>
      </c>
      <c r="W275" s="95">
        <f t="shared" si="97"/>
        <v>4910.0324047926706</v>
      </c>
      <c r="X275" s="95">
        <f t="shared" si="98"/>
        <v>3.9839318767760097</v>
      </c>
      <c r="Y275" s="95">
        <f t="shared" si="99"/>
        <v>-3.9839318767760097</v>
      </c>
      <c r="Z275" s="95">
        <f t="shared" si="100"/>
        <v>-961.01618750872274</v>
      </c>
      <c r="AA275" s="93" t="str">
        <f t="shared" si="101"/>
        <v/>
      </c>
      <c r="AB275" s="100"/>
      <c r="AC275" s="71"/>
      <c r="AD275" s="39"/>
    </row>
    <row r="276" spans="1:30" ht="18.75" x14ac:dyDescent="0.25">
      <c r="A276" s="39"/>
      <c r="B276" s="39"/>
      <c r="C276" s="111">
        <f t="shared" si="124"/>
        <v>-2.1000000000000025E-3</v>
      </c>
      <c r="D276" s="111">
        <f t="shared" si="119"/>
        <v>-1.8923333333333307E-3</v>
      </c>
      <c r="E276" s="111">
        <f t="shared" si="120"/>
        <v>-2.0743333333333356E-3</v>
      </c>
      <c r="F276" s="111">
        <f t="shared" si="121"/>
        <v>-1.8666666666666636E-3</v>
      </c>
      <c r="G276" s="114">
        <f t="shared" si="122"/>
        <v>3599.9999999999172</v>
      </c>
      <c r="H276" s="115">
        <f t="shared" si="115"/>
        <v>58.09672098765428</v>
      </c>
      <c r="I276" s="115">
        <f t="shared" si="116"/>
        <v>101.66876987654305</v>
      </c>
      <c r="J276" s="115">
        <f t="shared" si="112"/>
        <v>0.99994356261022865</v>
      </c>
      <c r="K276" s="115">
        <f t="shared" si="123"/>
        <v>0.50000241888179175</v>
      </c>
      <c r="L276" s="96">
        <f t="shared" si="88"/>
        <v>-491727.54577927204</v>
      </c>
      <c r="M276" s="116">
        <f t="shared" si="117"/>
        <v>-3950577.0271604909</v>
      </c>
      <c r="N276" s="96">
        <f t="shared" si="89"/>
        <v>-491727.54577927204</v>
      </c>
      <c r="O276" s="116">
        <f t="shared" si="90"/>
        <v>-4934032.1187190348</v>
      </c>
      <c r="P276" s="116">
        <f t="shared" si="118"/>
        <v>-3822.3915351629257</v>
      </c>
      <c r="Q276" s="97">
        <f t="shared" si="91"/>
        <v>1.4032237301729917</v>
      </c>
      <c r="R276" s="97">
        <f t="shared" si="92"/>
        <v>-2.5955478915791166E-6</v>
      </c>
      <c r="S276" s="71">
        <f t="shared" si="93"/>
        <v>2.5955478915791166E-6</v>
      </c>
      <c r="T276" s="99">
        <f t="shared" si="94"/>
        <v>7.7469936214263815E-4</v>
      </c>
      <c r="U276" s="99">
        <f t="shared" si="95"/>
        <v>2.1761218037714554E-6</v>
      </c>
      <c r="V276" s="93" t="str">
        <f t="shared" si="96"/>
        <v>SI</v>
      </c>
      <c r="W276" s="95">
        <f t="shared" si="97"/>
        <v>4934.0321187190348</v>
      </c>
      <c r="X276" s="95">
        <f t="shared" si="98"/>
        <v>-3.8223915351629258E-3</v>
      </c>
      <c r="Y276" s="95">
        <f t="shared" si="99"/>
        <v>3.8223915351629258E-3</v>
      </c>
      <c r="Z276" s="95">
        <f t="shared" si="100"/>
        <v>-983.45509155854404</v>
      </c>
      <c r="AA276" s="93" t="str">
        <f t="shared" si="101"/>
        <v/>
      </c>
      <c r="AB276" s="100"/>
      <c r="AC276" s="71"/>
      <c r="AD276" s="39"/>
    </row>
    <row r="277" spans="1:30" ht="19.5" thickBot="1" x14ac:dyDescent="0.3">
      <c r="A277" s="39"/>
      <c r="B277" s="39"/>
      <c r="C277" s="145">
        <f t="shared" si="124"/>
        <v>-2.0000000000000026E-3</v>
      </c>
      <c r="D277" s="145">
        <f t="shared" si="119"/>
        <v>-1.9999999999999974E-3</v>
      </c>
      <c r="E277" s="145">
        <f t="shared" si="120"/>
        <v>-2.0000000000000018E-3</v>
      </c>
      <c r="F277" s="145">
        <f t="shared" si="121"/>
        <v>-1.9999999999999966E-3</v>
      </c>
      <c r="G277" s="146">
        <f t="shared" si="122"/>
        <v>1.3176245766935413E+17</v>
      </c>
      <c r="H277" s="147">
        <f t="shared" si="115"/>
        <v>58.099999999999959</v>
      </c>
      <c r="I277" s="147">
        <f t="shared" si="116"/>
        <v>101.67499999999984</v>
      </c>
      <c r="J277" s="147">
        <f t="shared" si="112"/>
        <v>0.99999999999999933</v>
      </c>
      <c r="K277" s="147">
        <f t="shared" si="123"/>
        <v>0.50000000000000044</v>
      </c>
      <c r="L277" s="148">
        <f t="shared" si="88"/>
        <v>-491727.54577927204</v>
      </c>
      <c r="M277" s="148">
        <f t="shared" si="117"/>
        <v>-3950799.9999999972</v>
      </c>
      <c r="N277" s="148">
        <f t="shared" si="89"/>
        <v>-491727.54577927204</v>
      </c>
      <c r="O277" s="148">
        <f t="shared" ref="O277" si="125">L277+M277+N277</f>
        <v>-4934255.0915585412</v>
      </c>
      <c r="P277" s="148">
        <f t="shared" si="118"/>
        <v>-6.7055225372314453E-7</v>
      </c>
      <c r="Q277" s="149">
        <f t="shared" si="91"/>
        <v>1.403287142970487</v>
      </c>
      <c r="R277" s="149">
        <f t="shared" si="92"/>
        <v>-4.5533024870267446E-16</v>
      </c>
      <c r="S277" s="147">
        <f t="shared" ref="S277" si="126">-1*R277</f>
        <v>4.5533024870267446E-16</v>
      </c>
      <c r="T277" s="150">
        <f t="shared" si="94"/>
        <v>1.3589736267796866E-13</v>
      </c>
      <c r="U277" s="150">
        <f t="shared" ref="U277" si="127">T277/$C$13</f>
        <v>3.8173416482575466E-16</v>
      </c>
      <c r="V277" s="151" t="str">
        <f t="shared" si="96"/>
        <v>SI</v>
      </c>
      <c r="W277" s="146">
        <f t="shared" si="97"/>
        <v>4934.2550915585416</v>
      </c>
      <c r="X277" s="146">
        <f t="shared" si="98"/>
        <v>-6.7055225372314457E-13</v>
      </c>
      <c r="Y277" s="146">
        <f t="shared" si="99"/>
        <v>6.7055225372314457E-13</v>
      </c>
      <c r="Z277" s="146">
        <f t="shared" si="100"/>
        <v>-983.45509155854404</v>
      </c>
      <c r="AA277" s="151" t="str">
        <f t="shared" ref="AA277" si="128">IF(Z277&lt;1,IF(Z277&gt;-1,"ROTTURA BILANCIATA",""),"")</f>
        <v/>
      </c>
      <c r="AB277" s="100"/>
      <c r="AC277" s="71"/>
      <c r="AD277" s="39"/>
    </row>
    <row r="278" spans="1:30" ht="18.75" x14ac:dyDescent="0.25">
      <c r="A278" s="39"/>
      <c r="B278" s="39"/>
      <c r="C278" s="113"/>
      <c r="D278" s="94"/>
      <c r="E278" s="94"/>
      <c r="F278" s="136"/>
      <c r="G278" s="95"/>
      <c r="H278" s="115"/>
      <c r="I278" s="115"/>
      <c r="J278" s="71"/>
      <c r="K278" s="71"/>
      <c r="L278" s="96"/>
      <c r="M278" s="96"/>
      <c r="N278" s="96"/>
      <c r="O278" s="96"/>
      <c r="P278" s="96"/>
      <c r="Q278" s="97"/>
      <c r="R278" s="97"/>
      <c r="S278" s="71"/>
      <c r="T278" s="99"/>
      <c r="U278" s="99"/>
      <c r="V278" s="93"/>
      <c r="W278" s="39"/>
      <c r="X278" s="152"/>
      <c r="Y278" s="39"/>
      <c r="Z278" s="39"/>
      <c r="AA278" s="39"/>
      <c r="AB278" s="39"/>
      <c r="AC278" s="39"/>
      <c r="AD278" s="39"/>
    </row>
    <row r="279" spans="1:30" ht="18.75" x14ac:dyDescent="0.25">
      <c r="A279" s="39"/>
      <c r="B279" s="39"/>
      <c r="C279" s="113"/>
      <c r="D279" s="94"/>
      <c r="E279" s="94"/>
      <c r="F279" s="136"/>
      <c r="G279" s="95"/>
      <c r="H279" s="115"/>
      <c r="I279" s="115"/>
      <c r="J279" s="71"/>
      <c r="K279" s="71"/>
      <c r="L279" s="96"/>
      <c r="M279" s="96"/>
      <c r="N279" s="96"/>
      <c r="O279" s="96"/>
      <c r="P279" s="96"/>
      <c r="Q279" s="97"/>
      <c r="R279" s="97"/>
      <c r="S279" s="71"/>
      <c r="T279" s="99"/>
      <c r="U279" s="99"/>
      <c r="V279" s="93"/>
      <c r="W279" s="39"/>
      <c r="X279" s="39"/>
      <c r="Y279" s="152"/>
      <c r="Z279" s="39"/>
      <c r="AA279" s="39"/>
      <c r="AB279" s="39"/>
      <c r="AC279" s="39"/>
      <c r="AD279" s="39"/>
    </row>
    <row r="280" spans="1:30" ht="36.75" x14ac:dyDescent="0.6">
      <c r="A280" s="39"/>
      <c r="B280" s="39"/>
      <c r="C280" s="113"/>
      <c r="D280" s="94"/>
      <c r="E280" s="94"/>
      <c r="F280" s="136"/>
      <c r="G280" s="95"/>
      <c r="H280" s="115"/>
      <c r="I280" s="115"/>
      <c r="J280" s="71"/>
      <c r="K280" s="71"/>
      <c r="L280" s="96"/>
      <c r="M280" s="96"/>
      <c r="N280" s="96"/>
      <c r="O280" s="96"/>
      <c r="P280" s="96"/>
      <c r="Q280" s="97"/>
      <c r="R280" s="97"/>
      <c r="S280" s="71"/>
      <c r="T280" s="99"/>
      <c r="U280" s="99"/>
      <c r="V280" s="93"/>
      <c r="W280" s="39"/>
      <c r="X280" s="39"/>
      <c r="Y280" s="152"/>
      <c r="Z280" s="39"/>
      <c r="AA280" s="153" t="s">
        <v>111</v>
      </c>
      <c r="AB280" s="39"/>
      <c r="AC280" s="39"/>
      <c r="AD280" s="39"/>
    </row>
    <row r="281" spans="1:30" ht="21" x14ac:dyDescent="0.35">
      <c r="A281" s="39"/>
      <c r="B281" s="39"/>
      <c r="C281" s="69" t="s">
        <v>112</v>
      </c>
      <c r="D281" s="39"/>
      <c r="E281" s="39"/>
      <c r="F281" s="39"/>
      <c r="G281" s="39"/>
      <c r="H281" s="115"/>
      <c r="I281" s="115"/>
      <c r="J281" s="71"/>
      <c r="K281" s="71"/>
      <c r="L281" s="96"/>
      <c r="M281" s="96"/>
      <c r="N281" s="96"/>
      <c r="O281" s="96"/>
      <c r="P281" s="96"/>
      <c r="Q281" s="97"/>
      <c r="R281" s="97"/>
      <c r="S281" s="71"/>
      <c r="T281" s="99"/>
      <c r="U281" s="99"/>
      <c r="V281" s="93"/>
      <c r="W281" s="39"/>
      <c r="X281" s="39"/>
      <c r="Y281" s="152"/>
      <c r="Z281" s="39"/>
      <c r="AA281" s="39"/>
      <c r="AB281" s="39"/>
      <c r="AC281" s="39"/>
      <c r="AD281" s="39"/>
    </row>
    <row r="282" spans="1:30" ht="18.75" x14ac:dyDescent="0.25">
      <c r="A282" s="39"/>
      <c r="B282" s="39"/>
      <c r="C282" s="39"/>
      <c r="D282" s="39"/>
      <c r="E282" s="39"/>
      <c r="F282" s="39"/>
      <c r="G282" s="39"/>
      <c r="H282" s="115"/>
      <c r="I282" s="115"/>
      <c r="J282" s="71"/>
      <c r="K282" s="71"/>
      <c r="L282" s="96"/>
      <c r="M282" s="96"/>
      <c r="N282" s="96"/>
      <c r="O282" s="96"/>
      <c r="P282" s="96"/>
      <c r="Q282" s="97"/>
      <c r="R282" s="97"/>
      <c r="S282" s="71"/>
      <c r="T282" s="99"/>
      <c r="U282" s="99"/>
      <c r="V282" s="93"/>
      <c r="W282" s="39"/>
      <c r="X282" s="39"/>
      <c r="Y282" s="152"/>
      <c r="Z282" s="39"/>
      <c r="AA282" s="39"/>
      <c r="AB282" s="39"/>
      <c r="AC282" s="39"/>
      <c r="AD282" s="39"/>
    </row>
    <row r="283" spans="1:30" ht="21" x14ac:dyDescent="0.35">
      <c r="A283" s="39"/>
      <c r="B283" s="39"/>
      <c r="C283" s="69" t="s">
        <v>113</v>
      </c>
      <c r="D283" s="39"/>
      <c r="E283" s="39"/>
      <c r="F283" s="39"/>
      <c r="G283" s="39"/>
      <c r="H283" s="115"/>
      <c r="I283" s="115"/>
      <c r="J283" s="71"/>
      <c r="K283" s="71"/>
      <c r="L283" s="96"/>
      <c r="M283" s="96"/>
      <c r="N283" s="96"/>
      <c r="O283" s="96"/>
      <c r="P283" s="96"/>
      <c r="Q283" s="97"/>
      <c r="R283" s="97"/>
      <c r="S283" s="71"/>
      <c r="T283" s="99"/>
      <c r="U283" s="99"/>
      <c r="V283" s="93"/>
      <c r="W283" s="39"/>
      <c r="X283" s="39"/>
      <c r="Y283" s="152"/>
      <c r="Z283" s="39"/>
      <c r="AA283" s="39"/>
      <c r="AB283" s="39"/>
      <c r="AC283" s="39"/>
      <c r="AD283" s="39"/>
    </row>
    <row r="284" spans="1:30" ht="18.75" x14ac:dyDescent="0.25">
      <c r="A284" s="39"/>
      <c r="B284" s="39"/>
      <c r="C284" s="39"/>
      <c r="D284" s="39"/>
      <c r="E284" s="39"/>
      <c r="F284" s="39"/>
      <c r="G284" s="39"/>
      <c r="H284" s="115"/>
      <c r="I284" s="115"/>
      <c r="J284" s="71"/>
      <c r="K284" s="71"/>
      <c r="L284" s="96"/>
      <c r="M284" s="96"/>
      <c r="N284" s="96"/>
      <c r="O284" s="96"/>
      <c r="P284" s="96"/>
      <c r="Q284" s="97"/>
      <c r="R284" s="97"/>
      <c r="S284" s="71"/>
      <c r="T284" s="99"/>
      <c r="U284" s="99"/>
      <c r="V284" s="93"/>
      <c r="W284" s="39"/>
      <c r="X284" s="39"/>
      <c r="Y284" s="152"/>
      <c r="Z284" s="39"/>
      <c r="AA284" s="39"/>
      <c r="AB284" s="39"/>
      <c r="AC284" s="39"/>
      <c r="AD284" s="39"/>
    </row>
    <row r="285" spans="1:30" ht="21" x14ac:dyDescent="0.35">
      <c r="A285" s="39"/>
      <c r="B285" s="39"/>
      <c r="C285" s="69" t="s">
        <v>114</v>
      </c>
      <c r="D285" s="39"/>
      <c r="E285" s="39"/>
      <c r="F285" s="39"/>
      <c r="G285" s="39"/>
      <c r="H285" s="115"/>
      <c r="I285" s="115"/>
      <c r="J285" s="71"/>
      <c r="K285" s="71"/>
      <c r="L285" s="96"/>
      <c r="M285" s="96"/>
      <c r="N285" s="96"/>
      <c r="O285" s="96"/>
      <c r="P285" s="96"/>
      <c r="Q285" s="97"/>
      <c r="R285" s="97"/>
      <c r="S285" s="71"/>
      <c r="T285" s="99"/>
      <c r="U285" s="99"/>
      <c r="V285" s="93"/>
      <c r="W285" s="39"/>
      <c r="X285" s="39"/>
      <c r="Y285" s="152"/>
      <c r="Z285" s="39"/>
      <c r="AA285" s="39"/>
      <c r="AB285" s="39"/>
      <c r="AC285" s="39"/>
      <c r="AD285" s="39"/>
    </row>
    <row r="286" spans="1:30" ht="18.75" x14ac:dyDescent="0.25">
      <c r="A286" s="39"/>
      <c r="B286" s="39"/>
      <c r="C286" s="39"/>
      <c r="D286" s="39"/>
      <c r="E286" s="39"/>
      <c r="F286" s="39"/>
      <c r="G286" s="39"/>
      <c r="H286" s="115"/>
      <c r="I286" s="115"/>
      <c r="J286" s="71"/>
      <c r="K286" s="71"/>
      <c r="L286" s="96"/>
      <c r="M286" s="96"/>
      <c r="N286" s="96"/>
      <c r="O286" s="96"/>
      <c r="P286" s="96"/>
      <c r="Q286" s="97"/>
      <c r="R286" s="97"/>
      <c r="S286" s="71"/>
      <c r="T286" s="99"/>
      <c r="U286" s="99"/>
      <c r="V286" s="93"/>
      <c r="W286" s="39"/>
      <c r="X286" s="39"/>
      <c r="Y286" s="152"/>
      <c r="Z286" s="39"/>
      <c r="AA286" s="39"/>
      <c r="AB286" s="39"/>
      <c r="AC286" s="39"/>
      <c r="AD286" s="39"/>
    </row>
    <row r="287" spans="1:30" ht="18.75" x14ac:dyDescent="0.25">
      <c r="A287" s="39"/>
      <c r="B287" s="39"/>
      <c r="C287" s="39"/>
      <c r="D287" s="39"/>
      <c r="E287" s="39"/>
      <c r="F287" s="39"/>
      <c r="G287" s="39"/>
      <c r="H287" s="115"/>
      <c r="I287" s="115"/>
      <c r="J287" s="71"/>
      <c r="K287" s="71"/>
      <c r="L287" s="96"/>
      <c r="M287" s="96"/>
      <c r="N287" s="96"/>
      <c r="O287" s="96"/>
      <c r="P287" s="96"/>
      <c r="Q287" s="97"/>
      <c r="R287" s="97"/>
      <c r="S287" s="71"/>
      <c r="T287" s="99"/>
      <c r="U287" s="99"/>
      <c r="V287" s="93"/>
      <c r="W287" s="39"/>
      <c r="X287" s="39"/>
      <c r="Y287" s="152"/>
      <c r="Z287" s="39"/>
      <c r="AA287" s="39"/>
      <c r="AB287" s="39"/>
      <c r="AC287" s="39"/>
      <c r="AD287" s="39"/>
    </row>
    <row r="288" spans="1:30" ht="18.75" x14ac:dyDescent="0.25">
      <c r="A288" s="39"/>
      <c r="B288" s="39"/>
      <c r="C288" s="93"/>
      <c r="D288" s="94"/>
      <c r="E288" s="94"/>
      <c r="F288" s="136"/>
      <c r="G288" s="39"/>
      <c r="H288" s="115"/>
      <c r="I288" s="115"/>
      <c r="J288" s="71"/>
      <c r="K288" s="71"/>
      <c r="L288" s="96"/>
      <c r="M288" s="96"/>
      <c r="N288" s="96"/>
      <c r="O288" s="96"/>
      <c r="P288" s="96"/>
      <c r="Q288" s="97"/>
      <c r="R288" s="97"/>
      <c r="S288" s="71"/>
      <c r="T288" s="99"/>
      <c r="U288" s="99"/>
      <c r="V288" s="93"/>
      <c r="W288" s="39"/>
      <c r="X288" s="39"/>
      <c r="Y288" s="152"/>
      <c r="Z288" s="39"/>
      <c r="AA288" s="39"/>
      <c r="AB288" s="39"/>
      <c r="AC288" s="39"/>
      <c r="AD288" s="39"/>
    </row>
    <row r="289" spans="1:30" ht="18.75" x14ac:dyDescent="0.25">
      <c r="A289" s="39"/>
      <c r="B289" s="39"/>
      <c r="C289" s="93"/>
      <c r="D289" s="94"/>
      <c r="E289" s="94"/>
      <c r="F289" s="136"/>
      <c r="G289" s="95"/>
      <c r="H289" s="115"/>
      <c r="I289" s="115"/>
      <c r="J289" s="71"/>
      <c r="K289" s="71"/>
      <c r="L289" s="96"/>
      <c r="M289" s="96"/>
      <c r="N289" s="96"/>
      <c r="O289" s="96"/>
      <c r="P289" s="96"/>
      <c r="Q289" s="97"/>
      <c r="R289" s="97"/>
      <c r="S289" s="71"/>
      <c r="T289" s="99"/>
      <c r="U289" s="99"/>
      <c r="V289" s="93"/>
      <c r="W289" s="39"/>
      <c r="X289" s="39"/>
      <c r="Y289" s="152"/>
      <c r="Z289" s="39"/>
      <c r="AA289" s="39"/>
      <c r="AB289" s="39"/>
      <c r="AC289" s="39"/>
      <c r="AD289" s="39"/>
    </row>
    <row r="290" spans="1:30" ht="18.75" x14ac:dyDescent="0.25">
      <c r="A290" s="39"/>
      <c r="B290" s="39"/>
      <c r="C290" s="93"/>
      <c r="D290" s="94"/>
      <c r="E290" s="94"/>
      <c r="F290" s="136"/>
      <c r="G290" s="95"/>
      <c r="H290" s="115"/>
      <c r="I290" s="115"/>
      <c r="J290" s="71"/>
      <c r="K290" s="71"/>
      <c r="L290" s="96"/>
      <c r="M290" s="96"/>
      <c r="N290" s="96"/>
      <c r="O290" s="96"/>
      <c r="P290" s="96"/>
      <c r="Q290" s="97"/>
      <c r="R290" s="97"/>
      <c r="S290" s="71"/>
      <c r="T290" s="99"/>
      <c r="U290" s="99"/>
      <c r="V290" s="93"/>
      <c r="W290" s="39"/>
      <c r="X290" s="39"/>
      <c r="Y290" s="152"/>
      <c r="Z290" s="39"/>
      <c r="AA290" s="39"/>
      <c r="AB290" s="39"/>
      <c r="AC290" s="39"/>
      <c r="AD290" s="39"/>
    </row>
    <row r="291" spans="1:30" ht="18.75" x14ac:dyDescent="0.25">
      <c r="A291" s="39"/>
      <c r="B291" s="39"/>
      <c r="C291" s="113"/>
      <c r="D291" s="111"/>
      <c r="E291" s="111"/>
      <c r="F291" s="136"/>
      <c r="G291" s="114"/>
      <c r="H291" s="115"/>
      <c r="I291" s="115"/>
      <c r="J291" s="115"/>
      <c r="K291" s="115"/>
      <c r="L291" s="116"/>
      <c r="M291" s="116"/>
      <c r="N291" s="116"/>
      <c r="O291" s="116"/>
      <c r="P291" s="116"/>
      <c r="Q291" s="117"/>
      <c r="R291" s="117"/>
      <c r="S291" s="115"/>
      <c r="T291" s="119"/>
      <c r="U291" s="119"/>
      <c r="V291" s="113"/>
      <c r="W291" s="41"/>
      <c r="X291" s="39"/>
      <c r="Y291" s="152"/>
      <c r="Z291" s="39"/>
      <c r="AA291" s="39"/>
      <c r="AB291" s="39"/>
      <c r="AC291" s="39"/>
      <c r="AD291" s="39"/>
    </row>
    <row r="292" spans="1:30" ht="18.75" x14ac:dyDescent="0.25">
      <c r="A292" s="39"/>
      <c r="B292" s="39"/>
      <c r="C292" s="113"/>
      <c r="D292" s="111"/>
      <c r="E292" s="111"/>
      <c r="F292" s="136"/>
      <c r="G292" s="114"/>
      <c r="H292" s="115"/>
      <c r="I292" s="115"/>
      <c r="J292" s="115"/>
      <c r="K292" s="115"/>
      <c r="L292" s="116"/>
      <c r="M292" s="116"/>
      <c r="N292" s="116"/>
      <c r="O292" s="116"/>
      <c r="P292" s="116"/>
      <c r="Q292" s="117"/>
      <c r="R292" s="117"/>
      <c r="S292" s="115"/>
      <c r="T292" s="119"/>
      <c r="U292" s="119"/>
      <c r="V292" s="113"/>
      <c r="W292" s="41"/>
      <c r="X292" s="39"/>
      <c r="Y292" s="152"/>
      <c r="Z292" s="39"/>
      <c r="AA292" s="39"/>
      <c r="AB292" s="39"/>
      <c r="AC292" s="39"/>
      <c r="AD292" s="39"/>
    </row>
    <row r="293" spans="1:30" ht="18.75" x14ac:dyDescent="0.25">
      <c r="A293" s="39"/>
      <c r="B293" s="39"/>
      <c r="C293" s="113"/>
      <c r="D293" s="111"/>
      <c r="E293" s="111"/>
      <c r="F293" s="136"/>
      <c r="G293" s="114"/>
      <c r="H293" s="115"/>
      <c r="I293" s="115"/>
      <c r="J293" s="115"/>
      <c r="K293" s="115"/>
      <c r="L293" s="116"/>
      <c r="M293" s="116"/>
      <c r="N293" s="116"/>
      <c r="O293" s="116"/>
      <c r="P293" s="116"/>
      <c r="Q293" s="117"/>
      <c r="R293" s="117"/>
      <c r="S293" s="115"/>
      <c r="T293" s="119"/>
      <c r="U293" s="119"/>
      <c r="V293" s="113"/>
      <c r="W293" s="41"/>
      <c r="X293" s="39"/>
      <c r="Y293" s="152"/>
      <c r="Z293" s="39"/>
      <c r="AA293" s="39"/>
      <c r="AB293" s="39"/>
      <c r="AC293" s="39"/>
      <c r="AD293" s="39"/>
    </row>
    <row r="294" spans="1:30" ht="18.75" x14ac:dyDescent="0.25">
      <c r="A294" s="39"/>
      <c r="B294" s="39"/>
      <c r="C294" s="113"/>
      <c r="D294" s="111"/>
      <c r="E294" s="111"/>
      <c r="F294" s="136"/>
      <c r="G294" s="39"/>
      <c r="H294" s="115"/>
      <c r="I294" s="115"/>
      <c r="J294" s="115"/>
      <c r="K294" s="115"/>
      <c r="L294" s="116"/>
      <c r="M294" s="116"/>
      <c r="N294" s="116"/>
      <c r="O294" s="116"/>
      <c r="P294" s="116"/>
      <c r="Q294" s="117"/>
      <c r="R294" s="117"/>
      <c r="S294" s="115"/>
      <c r="T294" s="119"/>
      <c r="U294" s="119"/>
      <c r="V294" s="113"/>
      <c r="W294" s="41"/>
      <c r="X294" s="39"/>
      <c r="Y294" s="152"/>
      <c r="Z294" s="39"/>
      <c r="AA294" s="39"/>
      <c r="AB294" s="39"/>
      <c r="AC294" s="39"/>
      <c r="AD294" s="39"/>
    </row>
    <row r="295" spans="1:30" x14ac:dyDescent="0.25">
      <c r="A295" s="39"/>
      <c r="B295" s="39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39"/>
      <c r="Y295" s="152"/>
      <c r="Z295" s="39"/>
      <c r="AA295" s="39"/>
      <c r="AB295" s="39"/>
      <c r="AC295" s="39"/>
      <c r="AD295" s="39"/>
    </row>
    <row r="296" spans="1:30" x14ac:dyDescent="0.25">
      <c r="A296" s="39"/>
      <c r="B296" s="39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39"/>
      <c r="Y296" s="152"/>
      <c r="Z296" s="39"/>
      <c r="AA296" s="39"/>
      <c r="AB296" s="39"/>
      <c r="AC296" s="39"/>
      <c r="AD296" s="39"/>
    </row>
    <row r="297" spans="1:30" x14ac:dyDescent="0.25">
      <c r="A297" s="39"/>
      <c r="B297" s="39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39"/>
      <c r="Y297" s="152"/>
      <c r="Z297" s="39"/>
      <c r="AA297" s="39"/>
      <c r="AB297" s="39"/>
      <c r="AC297" s="39"/>
      <c r="AD297" s="39"/>
    </row>
    <row r="298" spans="1:30" x14ac:dyDescent="0.25">
      <c r="A298" s="39"/>
      <c r="B298" s="39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39"/>
      <c r="Y298" s="152"/>
      <c r="Z298" s="39"/>
      <c r="AA298" s="39"/>
      <c r="AB298" s="39"/>
      <c r="AC298" s="39"/>
      <c r="AD298" s="39"/>
    </row>
    <row r="299" spans="1:30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152"/>
      <c r="Z299" s="39"/>
      <c r="AA299" s="39"/>
      <c r="AB299" s="39"/>
      <c r="AC299" s="39"/>
      <c r="AD299" s="39"/>
    </row>
    <row r="300" spans="1:30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152"/>
      <c r="Z300" s="39"/>
      <c r="AA300" s="39"/>
      <c r="AB300" s="39"/>
      <c r="AC300" s="39"/>
      <c r="AD300" s="39"/>
    </row>
    <row r="301" spans="1:30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152"/>
      <c r="Z301" s="39"/>
      <c r="AA301" s="39"/>
      <c r="AB301" s="39"/>
      <c r="AC301" s="39"/>
      <c r="AD301" s="39"/>
    </row>
    <row r="302" spans="1:30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152"/>
      <c r="Z302" s="39"/>
      <c r="AA302" s="39"/>
      <c r="AB302" s="39"/>
      <c r="AC302" s="39"/>
      <c r="AD302" s="39"/>
    </row>
    <row r="303" spans="1:30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152"/>
      <c r="Z303" s="39"/>
      <c r="AA303" s="39"/>
      <c r="AB303" s="39"/>
      <c r="AC303" s="39"/>
      <c r="AD303" s="39"/>
    </row>
    <row r="304" spans="1:30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152"/>
      <c r="Z304" s="39"/>
      <c r="AA304" s="39"/>
      <c r="AB304" s="39"/>
      <c r="AC304" s="39"/>
      <c r="AD304" s="39"/>
    </row>
    <row r="305" spans="1:30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152"/>
      <c r="Z305" s="39"/>
      <c r="AA305" s="39"/>
      <c r="AB305" s="39"/>
      <c r="AC305" s="39"/>
      <c r="AD305" s="39"/>
    </row>
    <row r="306" spans="1:30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152"/>
      <c r="Z306" s="39"/>
      <c r="AA306" s="39"/>
      <c r="AB306" s="39"/>
      <c r="AC306" s="39"/>
      <c r="AD306" s="39"/>
    </row>
    <row r="307" spans="1:30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152"/>
      <c r="Z307" s="39"/>
      <c r="AA307" s="39"/>
      <c r="AB307" s="39"/>
      <c r="AC307" s="39"/>
      <c r="AD307" s="39"/>
    </row>
    <row r="308" spans="1:30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152"/>
      <c r="Z308" s="39"/>
      <c r="AA308" s="39"/>
      <c r="AB308" s="39"/>
      <c r="AC308" s="39"/>
      <c r="AD308" s="39"/>
    </row>
    <row r="309" spans="1:30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152"/>
      <c r="Z309" s="39"/>
      <c r="AA309" s="39"/>
      <c r="AB309" s="39"/>
      <c r="AC309" s="39"/>
      <c r="AD309" s="39"/>
    </row>
    <row r="310" spans="1:30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152"/>
      <c r="Z310" s="39"/>
      <c r="AA310" s="39"/>
      <c r="AB310" s="39"/>
      <c r="AC310" s="39"/>
      <c r="AD310" s="39"/>
    </row>
    <row r="311" spans="1:30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152"/>
      <c r="Z311" s="39"/>
      <c r="AA311" s="39"/>
      <c r="AB311" s="39"/>
      <c r="AC311" s="39"/>
      <c r="AD311" s="39"/>
    </row>
    <row r="312" spans="1:30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152"/>
      <c r="Z312" s="39"/>
      <c r="AA312" s="39"/>
      <c r="AB312" s="39"/>
      <c r="AC312" s="39"/>
      <c r="AD312" s="39"/>
    </row>
    <row r="313" spans="1:30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152"/>
      <c r="Z313" s="39"/>
      <c r="AA313" s="39"/>
      <c r="AB313" s="39"/>
      <c r="AC313" s="39"/>
      <c r="AD313" s="39"/>
    </row>
    <row r="314" spans="1:30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152"/>
      <c r="Z314" s="39"/>
      <c r="AA314" s="39"/>
      <c r="AB314" s="39"/>
      <c r="AC314" s="39"/>
      <c r="AD314" s="39"/>
    </row>
    <row r="315" spans="1:30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152"/>
      <c r="Z315" s="39"/>
      <c r="AA315" s="39"/>
      <c r="AB315" s="39"/>
      <c r="AC315" s="39"/>
      <c r="AD315" s="39"/>
    </row>
    <row r="316" spans="1:30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152"/>
      <c r="Z316" s="39"/>
      <c r="AA316" s="39"/>
      <c r="AB316" s="39"/>
      <c r="AC316" s="39"/>
      <c r="AD316" s="39"/>
    </row>
    <row r="317" spans="1:30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152"/>
      <c r="Z317" s="39"/>
      <c r="AA317" s="39"/>
      <c r="AB317" s="39"/>
      <c r="AC317" s="39"/>
      <c r="AD317" s="39"/>
    </row>
    <row r="318" spans="1:30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152"/>
      <c r="Z318" s="39"/>
      <c r="AA318" s="39"/>
      <c r="AB318" s="39"/>
      <c r="AC318" s="39"/>
      <c r="AD318" s="39"/>
    </row>
    <row r="319" spans="1:30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152"/>
      <c r="Z319" s="39"/>
      <c r="AA319" s="39"/>
      <c r="AB319" s="39"/>
      <c r="AC319" s="39"/>
      <c r="AD319" s="39"/>
    </row>
    <row r="320" spans="1:30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152"/>
      <c r="Z320" s="39"/>
      <c r="AA320" s="39"/>
      <c r="AB320" s="39"/>
      <c r="AC320" s="39"/>
      <c r="AD320" s="39"/>
    </row>
    <row r="321" spans="1:30" ht="18.75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154"/>
      <c r="Y321" s="152"/>
      <c r="Z321" s="39"/>
      <c r="AA321" s="39"/>
      <c r="AB321" s="39"/>
      <c r="AC321" s="39"/>
      <c r="AD321" s="39"/>
    </row>
    <row r="322" spans="1:30" ht="18.75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154"/>
      <c r="Y322" s="152"/>
      <c r="Z322" s="39"/>
      <c r="AA322" s="39"/>
      <c r="AB322" s="39"/>
      <c r="AC322" s="39"/>
      <c r="AD322" s="39"/>
    </row>
    <row r="323" spans="1:30" ht="18.75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154"/>
      <c r="Y323" s="152"/>
      <c r="Z323" s="39"/>
      <c r="AA323" s="39"/>
      <c r="AB323" s="39"/>
      <c r="AC323" s="39"/>
      <c r="AD323" s="39"/>
    </row>
    <row r="324" spans="1:30" ht="18.75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154"/>
      <c r="Y324" s="152"/>
      <c r="Z324" s="39"/>
      <c r="AA324" s="39"/>
      <c r="AB324" s="39"/>
      <c r="AC324" s="39"/>
      <c r="AD324" s="39"/>
    </row>
    <row r="325" spans="1:30" ht="18.75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154"/>
      <c r="Y325" s="152"/>
      <c r="Z325" s="39"/>
      <c r="AA325" s="39"/>
      <c r="AB325" s="39"/>
      <c r="AC325" s="39"/>
      <c r="AD325" s="39"/>
    </row>
    <row r="326" spans="1:30" ht="18.75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154"/>
      <c r="Y326" s="152"/>
      <c r="Z326" s="39"/>
      <c r="AA326" s="39"/>
      <c r="AB326" s="39"/>
      <c r="AC326" s="39"/>
      <c r="AD326" s="39"/>
    </row>
    <row r="327" spans="1:30" ht="18.75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154"/>
      <c r="Y327" s="39"/>
      <c r="Z327" s="39"/>
      <c r="AA327" s="39"/>
      <c r="AB327" s="39"/>
      <c r="AC327" s="39"/>
      <c r="AD327" s="39"/>
    </row>
    <row r="328" spans="1:30" ht="18.75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54"/>
      <c r="Y328" s="152"/>
      <c r="Z328" s="39"/>
      <c r="AA328" s="39"/>
      <c r="AB328" s="39"/>
      <c r="AC328" s="39"/>
      <c r="AD328" s="39"/>
    </row>
    <row r="329" spans="1:30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155"/>
      <c r="Y329" s="152"/>
      <c r="Z329" s="39"/>
      <c r="AA329" s="39"/>
      <c r="AB329" s="39"/>
      <c r="AC329" s="39"/>
      <c r="AD329" s="39"/>
    </row>
    <row r="330" spans="1:30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155"/>
      <c r="Y330" s="152"/>
      <c r="Z330" s="39"/>
      <c r="AA330" s="39"/>
      <c r="AB330" s="39"/>
      <c r="AC330" s="39"/>
      <c r="AD330" s="39"/>
    </row>
    <row r="331" spans="1:30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55"/>
      <c r="Y331" s="152"/>
      <c r="Z331" s="39"/>
      <c r="AA331" s="39"/>
      <c r="AB331" s="39"/>
      <c r="AC331" s="39"/>
      <c r="AD331" s="39"/>
    </row>
    <row r="332" spans="1:30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152"/>
      <c r="Z332" s="39"/>
      <c r="AA332" s="39"/>
      <c r="AB332" s="39"/>
      <c r="AC332" s="39"/>
      <c r="AD332" s="39"/>
    </row>
    <row r="333" spans="1:30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155"/>
      <c r="Y333" s="152"/>
      <c r="Z333" s="39"/>
      <c r="AA333" s="39"/>
      <c r="AB333" s="39"/>
      <c r="AC333" s="39"/>
      <c r="AD333" s="39"/>
    </row>
    <row r="334" spans="1:30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155"/>
      <c r="Y334" s="152"/>
      <c r="Z334" s="39"/>
      <c r="AA334" s="39"/>
      <c r="AB334" s="39"/>
      <c r="AC334" s="39"/>
      <c r="AD334" s="39"/>
    </row>
    <row r="335" spans="1:30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155"/>
      <c r="Y335" s="152"/>
      <c r="Z335" s="39"/>
      <c r="AA335" s="39"/>
      <c r="AB335" s="39"/>
      <c r="AC335" s="39"/>
      <c r="AD335" s="39"/>
    </row>
    <row r="336" spans="1:30" ht="2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156"/>
      <c r="Y336" s="152"/>
      <c r="Z336" s="39"/>
      <c r="AA336" s="39"/>
      <c r="AB336" s="39"/>
      <c r="AC336" s="39"/>
      <c r="AD336" s="39"/>
    </row>
    <row r="337" spans="1:30" ht="18.75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157"/>
      <c r="Y337" s="152"/>
      <c r="Z337" s="39"/>
      <c r="AA337" s="39"/>
      <c r="AB337" s="39"/>
      <c r="AC337" s="39"/>
      <c r="AD337" s="39"/>
    </row>
    <row r="338" spans="1:30" ht="18.75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157"/>
      <c r="Y338" s="152"/>
      <c r="Z338" s="39"/>
      <c r="AA338" s="39"/>
      <c r="AB338" s="39"/>
      <c r="AC338" s="39"/>
      <c r="AD338" s="39"/>
    </row>
    <row r="339" spans="1:30" ht="18.75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157"/>
      <c r="Y339" s="152"/>
      <c r="Z339" s="39"/>
      <c r="AA339" s="39"/>
      <c r="AB339" s="39"/>
      <c r="AC339" s="39"/>
      <c r="AD339" s="39"/>
    </row>
    <row r="340" spans="1:30" ht="18.75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157"/>
      <c r="Y340" s="152"/>
      <c r="Z340" s="39"/>
      <c r="AA340" s="39"/>
      <c r="AB340" s="39"/>
      <c r="AC340" s="39"/>
      <c r="AD340" s="39"/>
    </row>
    <row r="341" spans="1:30" ht="18.75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157"/>
      <c r="Y341" s="152"/>
      <c r="Z341" s="39"/>
      <c r="AA341" s="39"/>
      <c r="AB341" s="39"/>
      <c r="AC341" s="39"/>
      <c r="AD341" s="39"/>
    </row>
    <row r="342" spans="1:30" ht="18.75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157"/>
      <c r="Y342" s="152"/>
      <c r="Z342" s="39"/>
      <c r="AA342" s="39"/>
      <c r="AB342" s="39"/>
      <c r="AC342" s="39"/>
      <c r="AD342" s="39"/>
    </row>
    <row r="343" spans="1:30" ht="18.75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157"/>
      <c r="Y343" s="152"/>
      <c r="Z343" s="39"/>
      <c r="AA343" s="39"/>
      <c r="AB343" s="39"/>
      <c r="AC343" s="39"/>
      <c r="AD343" s="39"/>
    </row>
    <row r="344" spans="1:30" ht="18.75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157"/>
      <c r="Y344" s="152"/>
      <c r="Z344" s="39"/>
      <c r="AA344" s="39"/>
      <c r="AB344" s="39"/>
      <c r="AC344" s="39"/>
      <c r="AD344" s="39"/>
    </row>
    <row r="345" spans="1:30" ht="18.75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157"/>
      <c r="Y345" s="152"/>
      <c r="Z345" s="39"/>
      <c r="AA345" s="39"/>
      <c r="AB345" s="39"/>
      <c r="AC345" s="39"/>
      <c r="AD345" s="39"/>
    </row>
    <row r="346" spans="1:30" ht="2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157"/>
      <c r="Y346" s="58"/>
      <c r="Z346" s="39"/>
      <c r="AA346" s="39"/>
      <c r="AB346" s="39"/>
      <c r="AC346" s="39"/>
      <c r="AD346" s="39"/>
    </row>
    <row r="347" spans="1:30" ht="18.75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157"/>
      <c r="Y347" s="152"/>
      <c r="Z347" s="39"/>
      <c r="AA347" s="39"/>
      <c r="AB347" s="39"/>
      <c r="AC347" s="39"/>
      <c r="AD347" s="39"/>
    </row>
    <row r="348" spans="1:30" ht="18.75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157"/>
      <c r="Y348" s="152"/>
      <c r="Z348" s="39"/>
      <c r="AA348" s="39"/>
      <c r="AB348" s="39"/>
      <c r="AC348" s="39"/>
      <c r="AD348" s="39"/>
    </row>
    <row r="349" spans="1:30" ht="18.75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154"/>
      <c r="Y349" s="152"/>
      <c r="Z349" s="39"/>
      <c r="AA349" s="39"/>
      <c r="AB349" s="39"/>
      <c r="AC349" s="39"/>
      <c r="AD349" s="39"/>
    </row>
    <row r="350" spans="1:30" ht="18.75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54"/>
      <c r="Y350" s="152"/>
      <c r="Z350" s="39"/>
      <c r="AA350" s="39"/>
      <c r="AB350" s="39"/>
      <c r="AC350" s="39"/>
      <c r="AD350" s="39"/>
    </row>
    <row r="351" spans="1:30" ht="2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58"/>
      <c r="Y351" s="152"/>
      <c r="Z351" s="39"/>
      <c r="AA351" s="39"/>
      <c r="AB351" s="39"/>
      <c r="AC351" s="39"/>
      <c r="AD351" s="39"/>
    </row>
    <row r="352" spans="1:30" ht="18.75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154"/>
      <c r="Y352" s="152"/>
      <c r="Z352" s="39"/>
      <c r="AA352" s="39"/>
      <c r="AB352" s="39"/>
      <c r="AC352" s="39"/>
      <c r="AD352" s="39"/>
    </row>
    <row r="353" spans="1:30" ht="18.75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154"/>
      <c r="Y353" s="152"/>
      <c r="Z353" s="39"/>
      <c r="AA353" s="39"/>
      <c r="AB353" s="39"/>
      <c r="AC353" s="39"/>
      <c r="AD353" s="39"/>
    </row>
    <row r="354" spans="1:30" ht="18.75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96"/>
      <c r="M354" s="96"/>
      <c r="N354" s="96"/>
      <c r="O354" s="95"/>
      <c r="P354" s="96"/>
      <c r="Q354" s="96"/>
      <c r="R354" s="71"/>
      <c r="S354" s="71"/>
      <c r="T354" s="71"/>
      <c r="U354" s="39"/>
      <c r="V354" s="39"/>
      <c r="W354" s="39"/>
      <c r="X354" s="154"/>
      <c r="Y354" s="152"/>
      <c r="Z354" s="39"/>
      <c r="AA354" s="39"/>
      <c r="AB354" s="39"/>
      <c r="AC354" s="39"/>
      <c r="AD354" s="39"/>
    </row>
    <row r="355" spans="1:30" ht="18.75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154"/>
      <c r="Y355" s="152"/>
      <c r="Z355" s="39"/>
      <c r="AA355" s="39"/>
      <c r="AB355" s="39"/>
      <c r="AC355" s="39"/>
      <c r="AD355" s="39"/>
    </row>
    <row r="356" spans="1:30" ht="18.75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154"/>
      <c r="Y356" s="152"/>
      <c r="Z356" s="39"/>
      <c r="AA356" s="39"/>
      <c r="AB356" s="39"/>
      <c r="AC356" s="39"/>
      <c r="AD356" s="39"/>
    </row>
    <row r="357" spans="1:30" ht="18.75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154"/>
      <c r="Y357" s="152"/>
      <c r="Z357" s="39"/>
      <c r="AA357" s="39"/>
      <c r="AB357" s="39"/>
      <c r="AC357" s="39"/>
      <c r="AD357" s="39"/>
    </row>
    <row r="358" spans="1:30" ht="18.75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154"/>
      <c r="Y358" s="152"/>
      <c r="Z358" s="39"/>
      <c r="AA358" s="39"/>
      <c r="AB358" s="39"/>
      <c r="AC358" s="39"/>
      <c r="AD358" s="39"/>
    </row>
    <row r="359" spans="1:30" ht="18.75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154"/>
      <c r="Y359" s="152"/>
      <c r="Z359" s="39"/>
      <c r="AA359" s="39"/>
      <c r="AB359" s="39"/>
      <c r="AC359" s="39"/>
      <c r="AD359" s="39"/>
    </row>
    <row r="360" spans="1:30" ht="18.75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154"/>
      <c r="Y360" s="152"/>
      <c r="Z360" s="39"/>
      <c r="AA360" s="39"/>
      <c r="AB360" s="39"/>
      <c r="AC360" s="39"/>
      <c r="AD360" s="39"/>
    </row>
    <row r="361" spans="1:30" ht="18.75" x14ac:dyDescent="0.25">
      <c r="A361" s="39"/>
      <c r="B361" s="39"/>
      <c r="C361" s="93"/>
      <c r="D361" s="94"/>
      <c r="E361" s="94"/>
      <c r="F361" s="95"/>
      <c r="G361" s="39"/>
      <c r="H361" s="39"/>
      <c r="I361" s="39"/>
      <c r="J361" s="39"/>
      <c r="K361" s="39"/>
      <c r="L361" s="96"/>
      <c r="M361" s="96"/>
      <c r="N361" s="96"/>
      <c r="O361" s="95"/>
      <c r="P361" s="96"/>
      <c r="Q361" s="96"/>
      <c r="R361" s="71"/>
      <c r="S361" s="71"/>
      <c r="T361" s="71"/>
      <c r="U361" s="39"/>
      <c r="V361" s="39"/>
      <c r="W361" s="39"/>
      <c r="X361" s="154"/>
      <c r="Y361" s="152"/>
      <c r="Z361" s="39"/>
      <c r="AA361" s="39"/>
      <c r="AB361" s="39"/>
      <c r="AC361" s="39"/>
      <c r="AD361" s="39"/>
    </row>
    <row r="362" spans="1:30" ht="18.75" x14ac:dyDescent="0.25">
      <c r="A362" s="39"/>
      <c r="B362" s="39"/>
      <c r="C362" s="93"/>
      <c r="D362" s="94"/>
      <c r="E362" s="94"/>
      <c r="F362" s="95"/>
      <c r="G362" s="39"/>
      <c r="H362" s="39"/>
      <c r="I362" s="39"/>
      <c r="J362" s="39"/>
      <c r="K362" s="39"/>
      <c r="L362" s="96"/>
      <c r="M362" s="96"/>
      <c r="N362" s="96"/>
      <c r="O362" s="95"/>
      <c r="P362" s="96"/>
      <c r="Q362" s="96"/>
      <c r="R362" s="71"/>
      <c r="S362" s="71"/>
      <c r="T362" s="71"/>
      <c r="U362" s="39"/>
      <c r="V362" s="39"/>
      <c r="W362" s="39"/>
      <c r="X362" s="154"/>
      <c r="Y362" s="152"/>
      <c r="Z362" s="39"/>
      <c r="AA362" s="39"/>
      <c r="AB362" s="39"/>
      <c r="AC362" s="39"/>
      <c r="AD362" s="39"/>
    </row>
    <row r="363" spans="1:30" ht="18.75" x14ac:dyDescent="0.25">
      <c r="A363" s="39"/>
      <c r="B363" s="39"/>
      <c r="C363" s="93"/>
      <c r="D363" s="94"/>
      <c r="E363" s="94"/>
      <c r="F363" s="95"/>
      <c r="G363" s="39"/>
      <c r="H363" s="39"/>
      <c r="I363" s="39"/>
      <c r="J363" s="39"/>
      <c r="K363" s="39"/>
      <c r="L363" s="96"/>
      <c r="M363" s="96"/>
      <c r="N363" s="96"/>
      <c r="O363" s="95"/>
      <c r="P363" s="96"/>
      <c r="Q363" s="96"/>
      <c r="R363" s="71"/>
      <c r="S363" s="71"/>
      <c r="T363" s="71"/>
      <c r="U363" s="39"/>
      <c r="V363" s="39"/>
      <c r="W363" s="39"/>
      <c r="X363" s="154"/>
      <c r="Y363" s="152"/>
      <c r="Z363" s="39"/>
      <c r="AA363" s="39"/>
      <c r="AB363" s="39"/>
      <c r="AC363" s="39"/>
      <c r="AD363" s="39"/>
    </row>
    <row r="364" spans="1:30" ht="18.75" x14ac:dyDescent="0.25">
      <c r="A364" s="39"/>
      <c r="B364" s="39"/>
      <c r="C364" s="93"/>
      <c r="D364" s="94"/>
      <c r="E364" s="94"/>
      <c r="F364" s="95"/>
      <c r="G364" s="39"/>
      <c r="H364" s="39"/>
      <c r="I364" s="39"/>
      <c r="J364" s="39"/>
      <c r="K364" s="39"/>
      <c r="L364" s="96"/>
      <c r="M364" s="96"/>
      <c r="N364" s="96"/>
      <c r="O364" s="95"/>
      <c r="P364" s="96"/>
      <c r="Q364" s="96"/>
      <c r="R364" s="71"/>
      <c r="S364" s="71"/>
      <c r="T364" s="71"/>
      <c r="U364" s="39"/>
      <c r="V364" s="39"/>
      <c r="W364" s="39"/>
      <c r="X364" s="154"/>
      <c r="Y364" s="152"/>
      <c r="Z364" s="39"/>
      <c r="AA364" s="39"/>
      <c r="AB364" s="39"/>
      <c r="AC364" s="39"/>
      <c r="AD364" s="39"/>
    </row>
    <row r="365" spans="1:30" ht="18.75" x14ac:dyDescent="0.25">
      <c r="A365" s="39"/>
      <c r="B365" s="39"/>
      <c r="C365" s="93"/>
      <c r="D365" s="94"/>
      <c r="E365" s="94"/>
      <c r="F365" s="95"/>
      <c r="G365" s="39"/>
      <c r="H365" s="39"/>
      <c r="I365" s="39"/>
      <c r="J365" s="39"/>
      <c r="K365" s="39"/>
      <c r="L365" s="96"/>
      <c r="M365" s="96"/>
      <c r="N365" s="96"/>
      <c r="O365" s="95"/>
      <c r="P365" s="96"/>
      <c r="Q365" s="96"/>
      <c r="R365" s="71"/>
      <c r="S365" s="71"/>
      <c r="T365" s="71"/>
      <c r="U365" s="39"/>
      <c r="V365" s="39"/>
      <c r="W365" s="39"/>
      <c r="X365" s="154"/>
      <c r="Y365" s="152"/>
      <c r="Z365" s="39"/>
      <c r="AA365" s="39"/>
      <c r="AB365" s="39"/>
      <c r="AC365" s="39"/>
      <c r="AD365" s="39"/>
    </row>
    <row r="366" spans="1:30" ht="18.75" x14ac:dyDescent="0.25">
      <c r="A366" s="39"/>
      <c r="B366" s="39"/>
      <c r="C366" s="93"/>
      <c r="D366" s="94"/>
      <c r="E366" s="94"/>
      <c r="F366" s="95"/>
      <c r="G366" s="39"/>
      <c r="H366" s="39"/>
      <c r="I366" s="39"/>
      <c r="J366" s="39"/>
      <c r="K366" s="39"/>
      <c r="L366" s="96"/>
      <c r="M366" s="96"/>
      <c r="N366" s="96"/>
      <c r="O366" s="95"/>
      <c r="P366" s="96"/>
      <c r="Q366" s="96"/>
      <c r="R366" s="71"/>
      <c r="S366" s="71"/>
      <c r="T366" s="71"/>
      <c r="U366" s="39"/>
      <c r="V366" s="39"/>
      <c r="W366" s="39"/>
      <c r="X366" s="154"/>
      <c r="Y366" s="152"/>
      <c r="Z366" s="39"/>
      <c r="AA366" s="39"/>
      <c r="AB366" s="39"/>
      <c r="AC366" s="39"/>
      <c r="AD366" s="39"/>
    </row>
    <row r="367" spans="1:30" ht="18.75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98"/>
      <c r="V367" s="99"/>
      <c r="W367" s="99"/>
      <c r="X367" s="154"/>
      <c r="Y367" s="152"/>
      <c r="Z367" s="39"/>
      <c r="AA367" s="39"/>
      <c r="AB367" s="39"/>
      <c r="AC367" s="39"/>
      <c r="AD367" s="39"/>
    </row>
    <row r="368" spans="1:30" ht="18.75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98"/>
      <c r="V368" s="99"/>
      <c r="W368" s="99"/>
      <c r="X368" s="154"/>
      <c r="Y368" s="152"/>
      <c r="Z368" s="39"/>
      <c r="AA368" s="39"/>
      <c r="AB368" s="39"/>
      <c r="AC368" s="39"/>
      <c r="AD368" s="39"/>
    </row>
    <row r="369" spans="1:30" ht="18.75" x14ac:dyDescent="0.25">
      <c r="A369" s="39"/>
      <c r="B369" s="39"/>
      <c r="C369" s="93"/>
      <c r="D369" s="94"/>
      <c r="E369" s="94"/>
      <c r="F369" s="95"/>
      <c r="G369" s="39"/>
      <c r="H369" s="39"/>
      <c r="I369" s="39"/>
      <c r="J369" s="39"/>
      <c r="K369" s="39"/>
      <c r="L369" s="96"/>
      <c r="M369" s="96"/>
      <c r="N369" s="96"/>
      <c r="O369" s="95"/>
      <c r="P369" s="96"/>
      <c r="Q369" s="96"/>
      <c r="R369" s="71"/>
      <c r="S369" s="71"/>
      <c r="T369" s="71"/>
      <c r="U369" s="98"/>
      <c r="V369" s="99"/>
      <c r="W369" s="99"/>
      <c r="X369" s="154"/>
      <c r="Y369" s="152"/>
      <c r="Z369" s="39"/>
      <c r="AA369" s="39"/>
      <c r="AB369" s="39"/>
      <c r="AC369" s="39"/>
      <c r="AD369" s="39"/>
    </row>
    <row r="370" spans="1:30" ht="18.75" x14ac:dyDescent="0.25">
      <c r="A370" s="39"/>
      <c r="B370" s="39"/>
      <c r="C370" s="93"/>
      <c r="D370" s="94"/>
      <c r="E370" s="94"/>
      <c r="F370" s="95"/>
      <c r="G370" s="39"/>
      <c r="H370" s="39"/>
      <c r="I370" s="39"/>
      <c r="J370" s="39"/>
      <c r="K370" s="39"/>
      <c r="L370" s="96"/>
      <c r="M370" s="96"/>
      <c r="N370" s="96"/>
      <c r="O370" s="95"/>
      <c r="P370" s="96"/>
      <c r="Q370" s="96"/>
      <c r="R370" s="71"/>
      <c r="S370" s="71"/>
      <c r="T370" s="71"/>
      <c r="U370" s="98"/>
      <c r="V370" s="99"/>
      <c r="W370" s="99"/>
      <c r="X370" s="154"/>
      <c r="Y370" s="152"/>
      <c r="Z370" s="39"/>
      <c r="AA370" s="39"/>
      <c r="AB370" s="39"/>
      <c r="AC370" s="39"/>
      <c r="AD370" s="39"/>
    </row>
    <row r="371" spans="1:30" ht="18.75" x14ac:dyDescent="0.25">
      <c r="A371" s="39"/>
      <c r="B371" s="39"/>
      <c r="C371" s="93"/>
      <c r="D371" s="94"/>
      <c r="E371" s="94"/>
      <c r="F371" s="95"/>
      <c r="G371" s="39"/>
      <c r="H371" s="39"/>
      <c r="I371" s="39"/>
      <c r="J371" s="39"/>
      <c r="K371" s="39"/>
      <c r="L371" s="96"/>
      <c r="M371" s="96"/>
      <c r="N371" s="96"/>
      <c r="O371" s="95"/>
      <c r="P371" s="96"/>
      <c r="Q371" s="96"/>
      <c r="R371" s="71"/>
      <c r="S371" s="71"/>
      <c r="T371" s="71"/>
      <c r="U371" s="98"/>
      <c r="V371" s="99"/>
      <c r="W371" s="99"/>
      <c r="X371" s="154"/>
      <c r="Y371" s="152"/>
      <c r="Z371" s="39"/>
      <c r="AA371" s="39"/>
      <c r="AB371" s="39"/>
      <c r="AC371" s="39"/>
      <c r="AD371" s="39"/>
    </row>
    <row r="372" spans="1:30" ht="18.75" x14ac:dyDescent="0.25">
      <c r="A372" s="39"/>
      <c r="B372" s="39"/>
      <c r="C372" s="93"/>
      <c r="D372" s="94"/>
      <c r="E372" s="94"/>
      <c r="F372" s="95"/>
      <c r="G372" s="39"/>
      <c r="H372" s="39"/>
      <c r="I372" s="39"/>
      <c r="J372" s="39"/>
      <c r="K372" s="39"/>
      <c r="L372" s="96"/>
      <c r="M372" s="96"/>
      <c r="N372" s="96"/>
      <c r="O372" s="95"/>
      <c r="P372" s="96"/>
      <c r="Q372" s="96"/>
      <c r="R372" s="71"/>
      <c r="S372" s="71"/>
      <c r="T372" s="71"/>
      <c r="U372" s="98"/>
      <c r="V372" s="99"/>
      <c r="W372" s="99"/>
      <c r="X372" s="154"/>
      <c r="Y372" s="152"/>
      <c r="Z372" s="39"/>
      <c r="AA372" s="39"/>
      <c r="AB372" s="39"/>
      <c r="AC372" s="39"/>
      <c r="AD372" s="39"/>
    </row>
    <row r="373" spans="1:30" ht="18.75" x14ac:dyDescent="0.25">
      <c r="A373" s="39"/>
      <c r="B373" s="39"/>
      <c r="C373" s="93"/>
      <c r="D373" s="94"/>
      <c r="E373" s="94"/>
      <c r="F373" s="95"/>
      <c r="G373" s="39"/>
      <c r="H373" s="39"/>
      <c r="I373" s="39"/>
      <c r="J373" s="39"/>
      <c r="K373" s="39"/>
      <c r="L373" s="96"/>
      <c r="M373" s="96"/>
      <c r="N373" s="96"/>
      <c r="O373" s="95"/>
      <c r="P373" s="96"/>
      <c r="Q373" s="96"/>
      <c r="R373" s="71"/>
      <c r="S373" s="71"/>
      <c r="T373" s="71"/>
      <c r="U373" s="98"/>
      <c r="V373" s="99"/>
      <c r="W373" s="99"/>
      <c r="X373" s="154"/>
      <c r="Y373" s="152"/>
      <c r="Z373" s="39"/>
      <c r="AA373" s="39"/>
      <c r="AB373" s="39"/>
      <c r="AC373" s="39"/>
      <c r="AD373" s="39"/>
    </row>
    <row r="374" spans="1:30" ht="18.75" x14ac:dyDescent="0.25">
      <c r="A374" s="39"/>
      <c r="B374" s="39"/>
      <c r="C374" s="93"/>
      <c r="D374" s="94"/>
      <c r="E374" s="94"/>
      <c r="F374" s="95"/>
      <c r="G374" s="39"/>
      <c r="H374" s="39"/>
      <c r="I374" s="39"/>
      <c r="J374" s="39"/>
      <c r="K374" s="39"/>
      <c r="L374" s="96"/>
      <c r="M374" s="96"/>
      <c r="N374" s="96"/>
      <c r="O374" s="95"/>
      <c r="P374" s="96"/>
      <c r="Q374" s="96"/>
      <c r="R374" s="71"/>
      <c r="S374" s="71"/>
      <c r="T374" s="71"/>
      <c r="U374" s="39"/>
      <c r="V374" s="39"/>
      <c r="W374" s="39"/>
      <c r="X374" s="154"/>
      <c r="Y374" s="152"/>
      <c r="Z374" s="39"/>
      <c r="AA374" s="39"/>
      <c r="AB374" s="39"/>
      <c r="AC374" s="39"/>
      <c r="AD374" s="39"/>
    </row>
    <row r="375" spans="1:30" ht="18.75" x14ac:dyDescent="0.25">
      <c r="A375" s="39"/>
      <c r="B375" s="39"/>
      <c r="C375" s="93"/>
      <c r="D375" s="94"/>
      <c r="E375" s="94"/>
      <c r="F375" s="95"/>
      <c r="G375" s="39"/>
      <c r="H375" s="39"/>
      <c r="I375" s="39"/>
      <c r="J375" s="39"/>
      <c r="K375" s="39"/>
      <c r="L375" s="96"/>
      <c r="M375" s="96"/>
      <c r="N375" s="96"/>
      <c r="O375" s="93"/>
      <c r="P375" s="96"/>
      <c r="Q375" s="96"/>
      <c r="R375" s="93"/>
      <c r="S375" s="71"/>
      <c r="T375" s="71"/>
      <c r="U375" s="39"/>
      <c r="V375" s="39"/>
      <c r="W375" s="39"/>
      <c r="X375" s="154"/>
      <c r="Y375" s="152"/>
      <c r="Z375" s="39"/>
      <c r="AA375" s="39"/>
      <c r="AB375" s="39"/>
      <c r="AC375" s="39"/>
      <c r="AD375" s="39"/>
    </row>
    <row r="376" spans="1:30" ht="18.75" x14ac:dyDescent="0.25">
      <c r="A376" s="39"/>
      <c r="B376" s="39"/>
      <c r="C376" s="93"/>
      <c r="D376" s="94"/>
      <c r="E376" s="94"/>
      <c r="F376" s="95"/>
      <c r="G376" s="39"/>
      <c r="H376" s="39"/>
      <c r="I376" s="39"/>
      <c r="J376" s="39"/>
      <c r="K376" s="39"/>
      <c r="L376" s="96"/>
      <c r="M376" s="96"/>
      <c r="N376" s="96"/>
      <c r="O376" s="93"/>
      <c r="P376" s="96"/>
      <c r="Q376" s="96"/>
      <c r="R376" s="93"/>
      <c r="S376" s="71"/>
      <c r="T376" s="71"/>
      <c r="U376" s="98"/>
      <c r="V376" s="99"/>
      <c r="W376" s="99"/>
      <c r="X376" s="154"/>
      <c r="Y376" s="152"/>
      <c r="Z376" s="39"/>
      <c r="AA376" s="39"/>
      <c r="AB376" s="39"/>
      <c r="AC376" s="39"/>
      <c r="AD376" s="39"/>
    </row>
    <row r="377" spans="1:30" ht="18.75" x14ac:dyDescent="0.25">
      <c r="A377" s="39"/>
      <c r="B377" s="39"/>
      <c r="C377" s="93"/>
      <c r="D377" s="94"/>
      <c r="E377" s="94"/>
      <c r="F377" s="95"/>
      <c r="G377" s="39"/>
      <c r="H377" s="39"/>
      <c r="I377" s="39"/>
      <c r="J377" s="39"/>
      <c r="K377" s="39"/>
      <c r="L377" s="96"/>
      <c r="M377" s="96"/>
      <c r="N377" s="96"/>
      <c r="O377" s="93"/>
      <c r="P377" s="96"/>
      <c r="Q377" s="96"/>
      <c r="R377" s="93"/>
      <c r="S377" s="71"/>
      <c r="T377" s="71"/>
      <c r="U377" s="98"/>
      <c r="V377" s="99"/>
      <c r="W377" s="99"/>
      <c r="X377" s="154"/>
      <c r="Y377" s="152"/>
      <c r="Z377" s="39"/>
      <c r="AA377" s="39"/>
      <c r="AB377" s="39"/>
      <c r="AC377" s="39"/>
      <c r="AD377" s="39"/>
    </row>
    <row r="378" spans="1:30" ht="18.75" x14ac:dyDescent="0.25">
      <c r="A378" s="39"/>
      <c r="B378" s="39"/>
      <c r="C378" s="93"/>
      <c r="D378" s="94"/>
      <c r="E378" s="94"/>
      <c r="F378" s="95"/>
      <c r="G378" s="39"/>
      <c r="H378" s="39"/>
      <c r="I378" s="39"/>
      <c r="J378" s="39"/>
      <c r="K378" s="39"/>
      <c r="L378" s="96"/>
      <c r="M378" s="96"/>
      <c r="N378" s="96"/>
      <c r="O378" s="93"/>
      <c r="P378" s="96"/>
      <c r="Q378" s="96"/>
      <c r="R378" s="93"/>
      <c r="S378" s="71"/>
      <c r="T378" s="71"/>
      <c r="U378" s="98"/>
      <c r="V378" s="99"/>
      <c r="W378" s="99"/>
      <c r="X378" s="154"/>
      <c r="Y378" s="152"/>
      <c r="Z378" s="39"/>
      <c r="AA378" s="39"/>
      <c r="AB378" s="39"/>
      <c r="AC378" s="39"/>
      <c r="AD378" s="39"/>
    </row>
    <row r="379" spans="1:30" ht="18.75" x14ac:dyDescent="0.25">
      <c r="A379" s="39"/>
      <c r="B379" s="39"/>
      <c r="C379" s="93"/>
      <c r="D379" s="94"/>
      <c r="E379" s="94"/>
      <c r="F379" s="95"/>
      <c r="G379" s="39"/>
      <c r="H379" s="39"/>
      <c r="I379" s="39"/>
      <c r="J379" s="39"/>
      <c r="K379" s="39"/>
      <c r="L379" s="96"/>
      <c r="M379" s="96"/>
      <c r="N379" s="96"/>
      <c r="O379" s="93"/>
      <c r="P379" s="96"/>
      <c r="Q379" s="96"/>
      <c r="R379" s="93"/>
      <c r="S379" s="71"/>
      <c r="T379" s="71"/>
      <c r="U379" s="98"/>
      <c r="V379" s="99"/>
      <c r="W379" s="99"/>
      <c r="X379" s="154"/>
      <c r="Y379" s="152"/>
      <c r="Z379" s="39"/>
      <c r="AA379" s="39"/>
      <c r="AB379" s="39"/>
      <c r="AC379" s="39"/>
      <c r="AD379" s="39"/>
    </row>
    <row r="380" spans="1:30" ht="18.75" x14ac:dyDescent="0.25">
      <c r="A380" s="39"/>
      <c r="B380" s="39"/>
      <c r="C380" s="93"/>
      <c r="D380" s="94"/>
      <c r="E380" s="94"/>
      <c r="F380" s="95"/>
      <c r="G380" s="39"/>
      <c r="H380" s="39"/>
      <c r="I380" s="39"/>
      <c r="J380" s="39"/>
      <c r="K380" s="39"/>
      <c r="L380" s="96"/>
      <c r="M380" s="96"/>
      <c r="N380" s="96"/>
      <c r="O380" s="93"/>
      <c r="P380" s="96"/>
      <c r="Q380" s="96"/>
      <c r="R380" s="93"/>
      <c r="S380" s="71"/>
      <c r="T380" s="71"/>
      <c r="U380" s="98"/>
      <c r="V380" s="99"/>
      <c r="W380" s="99"/>
      <c r="X380" s="154"/>
      <c r="Y380" s="152"/>
      <c r="Z380" s="39"/>
      <c r="AA380" s="39"/>
      <c r="AB380" s="39"/>
      <c r="AC380" s="39"/>
      <c r="AD380" s="39"/>
    </row>
    <row r="381" spans="1:30" ht="18.75" x14ac:dyDescent="0.25">
      <c r="A381" s="39"/>
      <c r="B381" s="39"/>
      <c r="C381" s="93"/>
      <c r="D381" s="94"/>
      <c r="E381" s="94"/>
      <c r="F381" s="95"/>
      <c r="G381" s="39"/>
      <c r="H381" s="39"/>
      <c r="I381" s="39"/>
      <c r="J381" s="39"/>
      <c r="K381" s="39"/>
      <c r="L381" s="96"/>
      <c r="M381" s="96"/>
      <c r="N381" s="96"/>
      <c r="O381" s="93"/>
      <c r="P381" s="96"/>
      <c r="Q381" s="96"/>
      <c r="R381" s="93"/>
      <c r="S381" s="71"/>
      <c r="T381" s="71"/>
      <c r="U381" s="98"/>
      <c r="V381" s="99"/>
      <c r="W381" s="99"/>
      <c r="X381" s="154"/>
      <c r="Y381" s="152"/>
      <c r="Z381" s="39"/>
      <c r="AA381" s="39"/>
      <c r="AB381" s="39"/>
      <c r="AC381" s="39"/>
      <c r="AD381" s="39"/>
    </row>
    <row r="382" spans="1:30" ht="18.75" x14ac:dyDescent="0.25">
      <c r="A382" s="39"/>
      <c r="B382" s="39"/>
      <c r="C382" s="93"/>
      <c r="D382" s="94"/>
      <c r="E382" s="94"/>
      <c r="F382" s="95"/>
      <c r="G382" s="39"/>
      <c r="H382" s="39"/>
      <c r="I382" s="39"/>
      <c r="J382" s="39"/>
      <c r="K382" s="39"/>
      <c r="L382" s="96"/>
      <c r="M382" s="96"/>
      <c r="N382" s="96"/>
      <c r="O382" s="93"/>
      <c r="P382" s="96"/>
      <c r="Q382" s="96"/>
      <c r="R382" s="93"/>
      <c r="S382" s="71"/>
      <c r="T382" s="71"/>
      <c r="U382" s="93"/>
      <c r="V382" s="93"/>
      <c r="W382" s="99"/>
      <c r="X382" s="154"/>
      <c r="Y382" s="152"/>
      <c r="Z382" s="39"/>
      <c r="AA382" s="39"/>
      <c r="AB382" s="39"/>
      <c r="AC382" s="39"/>
      <c r="AD382" s="39"/>
    </row>
    <row r="383" spans="1:30" ht="18.75" x14ac:dyDescent="0.25">
      <c r="A383" s="39"/>
      <c r="B383" s="39"/>
      <c r="C383" s="93"/>
      <c r="D383" s="94"/>
      <c r="E383" s="94"/>
      <c r="F383" s="95"/>
      <c r="G383" s="39"/>
      <c r="H383" s="39"/>
      <c r="I383" s="39"/>
      <c r="J383" s="39"/>
      <c r="K383" s="39"/>
      <c r="L383" s="96"/>
      <c r="M383" s="96"/>
      <c r="N383" s="96"/>
      <c r="O383" s="93"/>
      <c r="P383" s="96"/>
      <c r="Q383" s="96"/>
      <c r="R383" s="93"/>
      <c r="S383" s="71"/>
      <c r="T383" s="71"/>
      <c r="U383" s="93"/>
      <c r="V383" s="93"/>
      <c r="W383" s="99"/>
      <c r="X383" s="154"/>
      <c r="Y383" s="152"/>
      <c r="Z383" s="39"/>
      <c r="AA383" s="39"/>
      <c r="AB383" s="39"/>
      <c r="AC383" s="39"/>
      <c r="AD383" s="39"/>
    </row>
    <row r="384" spans="1:30" ht="18.75" x14ac:dyDescent="0.25">
      <c r="A384" s="39"/>
      <c r="B384" s="39"/>
      <c r="C384" s="93"/>
      <c r="D384" s="94"/>
      <c r="E384" s="94"/>
      <c r="F384" s="95"/>
      <c r="G384" s="39"/>
      <c r="H384" s="39"/>
      <c r="I384" s="39"/>
      <c r="J384" s="39"/>
      <c r="K384" s="39"/>
      <c r="L384" s="96"/>
      <c r="M384" s="96"/>
      <c r="N384" s="96"/>
      <c r="O384" s="93"/>
      <c r="P384" s="96"/>
      <c r="Q384" s="96"/>
      <c r="R384" s="93"/>
      <c r="S384" s="71"/>
      <c r="T384" s="71"/>
      <c r="U384" s="93"/>
      <c r="V384" s="93"/>
      <c r="W384" s="99"/>
      <c r="X384" s="154"/>
      <c r="Y384" s="152"/>
      <c r="Z384" s="39"/>
      <c r="AA384" s="39"/>
      <c r="AB384" s="39"/>
      <c r="AC384" s="39"/>
      <c r="AD384" s="39"/>
    </row>
    <row r="385" spans="1:30" ht="18.75" x14ac:dyDescent="0.25">
      <c r="A385" s="39"/>
      <c r="B385" s="39"/>
      <c r="C385" s="93"/>
      <c r="D385" s="94"/>
      <c r="E385" s="94"/>
      <c r="F385" s="95"/>
      <c r="G385" s="39"/>
      <c r="H385" s="39"/>
      <c r="I385" s="39"/>
      <c r="J385" s="39"/>
      <c r="K385" s="39"/>
      <c r="L385" s="96"/>
      <c r="M385" s="96"/>
      <c r="N385" s="96"/>
      <c r="O385" s="93"/>
      <c r="P385" s="96"/>
      <c r="Q385" s="96"/>
      <c r="R385" s="93"/>
      <c r="S385" s="71"/>
      <c r="T385" s="71"/>
      <c r="U385" s="93"/>
      <c r="V385" s="93"/>
      <c r="W385" s="99"/>
      <c r="X385" s="154"/>
      <c r="Y385" s="152"/>
      <c r="Z385" s="39"/>
      <c r="AA385" s="39"/>
      <c r="AB385" s="39"/>
      <c r="AC385" s="39"/>
      <c r="AD385" s="39"/>
    </row>
    <row r="386" spans="1:30" ht="18.75" x14ac:dyDescent="0.25">
      <c r="A386" s="39"/>
      <c r="B386" s="39"/>
      <c r="C386" s="93"/>
      <c r="D386" s="94"/>
      <c r="E386" s="94"/>
      <c r="F386" s="95"/>
      <c r="G386" s="39"/>
      <c r="H386" s="39"/>
      <c r="I386" s="39"/>
      <c r="J386" s="39"/>
      <c r="K386" s="39"/>
      <c r="L386" s="96"/>
      <c r="M386" s="96"/>
      <c r="N386" s="96"/>
      <c r="O386" s="93"/>
      <c r="P386" s="96"/>
      <c r="Q386" s="96"/>
      <c r="R386" s="93"/>
      <c r="S386" s="71"/>
      <c r="T386" s="71"/>
      <c r="U386" s="93"/>
      <c r="V386" s="93"/>
      <c r="W386" s="99"/>
      <c r="X386" s="154"/>
      <c r="Y386" s="152"/>
      <c r="Z386" s="39"/>
      <c r="AA386" s="39"/>
      <c r="AB386" s="39"/>
      <c r="AC386" s="39"/>
      <c r="AD386" s="39"/>
    </row>
    <row r="387" spans="1:30" ht="18.75" x14ac:dyDescent="0.25">
      <c r="A387" s="39"/>
      <c r="B387" s="39"/>
      <c r="C387" s="93"/>
      <c r="D387" s="94"/>
      <c r="E387" s="94"/>
      <c r="F387" s="95"/>
      <c r="G387" s="39"/>
      <c r="H387" s="39"/>
      <c r="I387" s="39"/>
      <c r="J387" s="39"/>
      <c r="K387" s="39"/>
      <c r="L387" s="96"/>
      <c r="M387" s="96"/>
      <c r="N387" s="96"/>
      <c r="O387" s="93"/>
      <c r="P387" s="96"/>
      <c r="Q387" s="96"/>
      <c r="R387" s="93"/>
      <c r="S387" s="71"/>
      <c r="T387" s="71"/>
      <c r="U387" s="93"/>
      <c r="V387" s="93"/>
      <c r="W387" s="99"/>
      <c r="X387" s="154"/>
      <c r="Y387" s="152"/>
      <c r="Z387" s="39"/>
      <c r="AA387" s="39"/>
      <c r="AB387" s="39"/>
      <c r="AC387" s="39"/>
      <c r="AD387" s="39"/>
    </row>
    <row r="388" spans="1:30" ht="18.75" x14ac:dyDescent="0.25">
      <c r="A388" s="39"/>
      <c r="B388" s="39"/>
      <c r="C388" s="93"/>
      <c r="D388" s="94"/>
      <c r="E388" s="94"/>
      <c r="F388" s="95"/>
      <c r="G388" s="39"/>
      <c r="H388" s="39"/>
      <c r="I388" s="39"/>
      <c r="J388" s="39"/>
      <c r="K388" s="39"/>
      <c r="L388" s="96"/>
      <c r="M388" s="96"/>
      <c r="N388" s="96"/>
      <c r="O388" s="93"/>
      <c r="P388" s="96"/>
      <c r="Q388" s="96"/>
      <c r="R388" s="93"/>
      <c r="S388" s="71"/>
      <c r="T388" s="71"/>
      <c r="U388" s="93"/>
      <c r="V388" s="93"/>
      <c r="W388" s="99"/>
      <c r="X388" s="154"/>
      <c r="Y388" s="152"/>
      <c r="Z388" s="39"/>
      <c r="AA388" s="39"/>
      <c r="AB388" s="39"/>
      <c r="AC388" s="39"/>
      <c r="AD388" s="39"/>
    </row>
    <row r="389" spans="1:30" ht="18.75" x14ac:dyDescent="0.25">
      <c r="A389" s="39"/>
      <c r="B389" s="39"/>
      <c r="C389" s="93"/>
      <c r="D389" s="94"/>
      <c r="E389" s="94"/>
      <c r="F389" s="95"/>
      <c r="G389" s="39"/>
      <c r="H389" s="39"/>
      <c r="I389" s="39"/>
      <c r="J389" s="39"/>
      <c r="K389" s="39"/>
      <c r="L389" s="96"/>
      <c r="M389" s="96"/>
      <c r="N389" s="96"/>
      <c r="O389" s="93"/>
      <c r="P389" s="96"/>
      <c r="Q389" s="96"/>
      <c r="R389" s="93"/>
      <c r="S389" s="71"/>
      <c r="T389" s="71"/>
      <c r="U389" s="93"/>
      <c r="V389" s="93"/>
      <c r="W389" s="99"/>
      <c r="X389" s="154"/>
      <c r="Y389" s="152"/>
      <c r="Z389" s="39"/>
      <c r="AA389" s="39"/>
      <c r="AB389" s="39"/>
      <c r="AC389" s="39"/>
      <c r="AD389" s="39"/>
    </row>
    <row r="390" spans="1:30" ht="18.75" x14ac:dyDescent="0.25">
      <c r="A390" s="39"/>
      <c r="B390" s="39"/>
      <c r="C390" s="93"/>
      <c r="D390" s="94"/>
      <c r="E390" s="94"/>
      <c r="F390" s="95"/>
      <c r="G390" s="39"/>
      <c r="H390" s="39"/>
      <c r="I390" s="39"/>
      <c r="J390" s="39"/>
      <c r="K390" s="39"/>
      <c r="L390" s="96"/>
      <c r="M390" s="96"/>
      <c r="N390" s="96"/>
      <c r="O390" s="93"/>
      <c r="P390" s="96"/>
      <c r="Q390" s="96"/>
      <c r="R390" s="93"/>
      <c r="S390" s="71"/>
      <c r="T390" s="71"/>
      <c r="U390" s="93"/>
      <c r="V390" s="93"/>
      <c r="W390" s="99"/>
      <c r="X390" s="154"/>
      <c r="Y390" s="152"/>
      <c r="Z390" s="39"/>
      <c r="AA390" s="39"/>
      <c r="AB390" s="39"/>
      <c r="AC390" s="39"/>
      <c r="AD390" s="39"/>
    </row>
    <row r="391" spans="1:30" ht="18.75" x14ac:dyDescent="0.25">
      <c r="A391" s="39"/>
      <c r="B391" s="39"/>
      <c r="C391" s="93"/>
      <c r="D391" s="94"/>
      <c r="E391" s="94"/>
      <c r="F391" s="95"/>
      <c r="G391" s="39"/>
      <c r="H391" s="39"/>
      <c r="I391" s="39"/>
      <c r="J391" s="39"/>
      <c r="K391" s="39"/>
      <c r="L391" s="96"/>
      <c r="M391" s="96"/>
      <c r="N391" s="96"/>
      <c r="O391" s="93"/>
      <c r="P391" s="96"/>
      <c r="Q391" s="96"/>
      <c r="R391" s="93"/>
      <c r="S391" s="71"/>
      <c r="T391" s="71"/>
      <c r="U391" s="93"/>
      <c r="V391" s="93"/>
      <c r="W391" s="99"/>
      <c r="X391" s="154"/>
      <c r="Y391" s="152"/>
      <c r="Z391" s="39"/>
      <c r="AA391" s="39"/>
      <c r="AB391" s="39"/>
      <c r="AC391" s="39"/>
      <c r="AD391" s="39"/>
    </row>
    <row r="392" spans="1:30" ht="18.75" x14ac:dyDescent="0.25">
      <c r="A392" s="39"/>
      <c r="B392" s="39"/>
      <c r="C392" s="93"/>
      <c r="D392" s="94"/>
      <c r="E392" s="94"/>
      <c r="F392" s="95"/>
      <c r="G392" s="39"/>
      <c r="H392" s="39"/>
      <c r="I392" s="39"/>
      <c r="J392" s="39"/>
      <c r="K392" s="39"/>
      <c r="L392" s="96"/>
      <c r="M392" s="96"/>
      <c r="N392" s="96"/>
      <c r="O392" s="93"/>
      <c r="P392" s="96"/>
      <c r="Q392" s="96"/>
      <c r="R392" s="93"/>
      <c r="S392" s="71"/>
      <c r="T392" s="71"/>
      <c r="U392" s="93"/>
      <c r="V392" s="93"/>
      <c r="W392" s="99"/>
      <c r="X392" s="154"/>
      <c r="Y392" s="152"/>
      <c r="Z392" s="39"/>
      <c r="AA392" s="39"/>
      <c r="AB392" s="39"/>
      <c r="AC392" s="39"/>
      <c r="AD392" s="39"/>
    </row>
    <row r="393" spans="1:30" ht="18.75" x14ac:dyDescent="0.25">
      <c r="A393" s="39"/>
      <c r="B393" s="39"/>
      <c r="C393" s="93"/>
      <c r="D393" s="94"/>
      <c r="E393" s="94"/>
      <c r="F393" s="95"/>
      <c r="G393" s="39"/>
      <c r="H393" s="39"/>
      <c r="I393" s="39"/>
      <c r="J393" s="39"/>
      <c r="K393" s="39"/>
      <c r="L393" s="96"/>
      <c r="M393" s="96"/>
      <c r="N393" s="96"/>
      <c r="O393" s="93"/>
      <c r="P393" s="96"/>
      <c r="Q393" s="96"/>
      <c r="R393" s="93"/>
      <c r="S393" s="71"/>
      <c r="T393" s="71"/>
      <c r="U393" s="93"/>
      <c r="V393" s="93"/>
      <c r="W393" s="99"/>
      <c r="X393" s="154"/>
      <c r="Y393" s="152"/>
      <c r="Z393" s="39"/>
      <c r="AA393" s="39"/>
      <c r="AB393" s="39"/>
      <c r="AC393" s="39"/>
      <c r="AD393" s="39"/>
    </row>
    <row r="394" spans="1:30" ht="18.75" x14ac:dyDescent="0.25">
      <c r="A394" s="39"/>
      <c r="B394" s="39"/>
      <c r="C394" s="93"/>
      <c r="D394" s="94"/>
      <c r="E394" s="94"/>
      <c r="F394" s="95"/>
      <c r="G394" s="39"/>
      <c r="H394" s="39"/>
      <c r="I394" s="39"/>
      <c r="J394" s="39"/>
      <c r="K394" s="39"/>
      <c r="L394" s="96"/>
      <c r="M394" s="96"/>
      <c r="N394" s="96"/>
      <c r="O394" s="93"/>
      <c r="P394" s="96"/>
      <c r="Q394" s="96"/>
      <c r="R394" s="93"/>
      <c r="S394" s="71"/>
      <c r="T394" s="71"/>
      <c r="U394" s="93"/>
      <c r="V394" s="93"/>
      <c r="W394" s="99"/>
      <c r="X394" s="154"/>
      <c r="Y394" s="152"/>
      <c r="Z394" s="39"/>
      <c r="AA394" s="39"/>
      <c r="AB394" s="39"/>
      <c r="AC394" s="39"/>
      <c r="AD394" s="39"/>
    </row>
    <row r="395" spans="1:30" ht="18.75" x14ac:dyDescent="0.25">
      <c r="A395" s="39"/>
      <c r="B395" s="39"/>
      <c r="C395" s="93"/>
      <c r="D395" s="94"/>
      <c r="E395" s="94"/>
      <c r="F395" s="95"/>
      <c r="G395" s="39"/>
      <c r="H395" s="39"/>
      <c r="I395" s="39"/>
      <c r="J395" s="39"/>
      <c r="K395" s="39"/>
      <c r="L395" s="96"/>
      <c r="M395" s="96"/>
      <c r="N395" s="96"/>
      <c r="O395" s="93"/>
      <c r="P395" s="96"/>
      <c r="Q395" s="96"/>
      <c r="R395" s="93"/>
      <c r="S395" s="71"/>
      <c r="T395" s="71"/>
      <c r="U395" s="93"/>
      <c r="V395" s="93"/>
      <c r="W395" s="99"/>
      <c r="X395" s="154"/>
      <c r="Y395" s="152"/>
      <c r="Z395" s="39"/>
      <c r="AA395" s="39"/>
      <c r="AB395" s="39"/>
      <c r="AC395" s="39"/>
      <c r="AD395" s="39"/>
    </row>
    <row r="396" spans="1:30" ht="18.75" x14ac:dyDescent="0.25">
      <c r="A396" s="39"/>
      <c r="B396" s="39"/>
      <c r="C396" s="93"/>
      <c r="D396" s="94"/>
      <c r="E396" s="94"/>
      <c r="F396" s="95"/>
      <c r="G396" s="39"/>
      <c r="H396" s="39"/>
      <c r="I396" s="39"/>
      <c r="J396" s="39"/>
      <c r="K396" s="39"/>
      <c r="L396" s="96"/>
      <c r="M396" s="96"/>
      <c r="N396" s="96"/>
      <c r="O396" s="93"/>
      <c r="P396" s="96"/>
      <c r="Q396" s="96"/>
      <c r="R396" s="93"/>
      <c r="S396" s="71"/>
      <c r="T396" s="71"/>
      <c r="U396" s="93"/>
      <c r="V396" s="93"/>
      <c r="W396" s="99"/>
      <c r="X396" s="154"/>
      <c r="Y396" s="152"/>
      <c r="Z396" s="39"/>
      <c r="AA396" s="39"/>
      <c r="AB396" s="39"/>
      <c r="AC396" s="39"/>
      <c r="AD396" s="39"/>
    </row>
    <row r="397" spans="1:30" ht="18.75" x14ac:dyDescent="0.25">
      <c r="A397" s="39"/>
      <c r="B397" s="39"/>
      <c r="C397" s="93"/>
      <c r="D397" s="94"/>
      <c r="E397" s="94"/>
      <c r="F397" s="95"/>
      <c r="G397" s="39"/>
      <c r="H397" s="39"/>
      <c r="I397" s="39"/>
      <c r="J397" s="39"/>
      <c r="K397" s="39"/>
      <c r="L397" s="96"/>
      <c r="M397" s="96"/>
      <c r="N397" s="96"/>
      <c r="O397" s="93"/>
      <c r="P397" s="96"/>
      <c r="Q397" s="96"/>
      <c r="R397" s="93"/>
      <c r="S397" s="71"/>
      <c r="T397" s="71"/>
      <c r="U397" s="93"/>
      <c r="V397" s="93"/>
      <c r="W397" s="99"/>
      <c r="X397" s="154"/>
      <c r="Y397" s="152"/>
      <c r="Z397" s="39"/>
      <c r="AA397" s="39"/>
      <c r="AB397" s="39"/>
      <c r="AC397" s="39"/>
      <c r="AD397" s="39"/>
    </row>
    <row r="398" spans="1:30" ht="18.75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93"/>
      <c r="V398" s="93"/>
      <c r="W398" s="99"/>
      <c r="X398" s="154"/>
      <c r="Y398" s="152"/>
      <c r="Z398" s="39"/>
      <c r="AA398" s="39"/>
      <c r="AB398" s="39"/>
      <c r="AC398" s="39"/>
      <c r="AD398" s="39"/>
    </row>
    <row r="399" spans="1:30" ht="18.75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93"/>
      <c r="V399" s="93"/>
      <c r="W399" s="99"/>
      <c r="X399" s="154"/>
      <c r="Y399" s="152"/>
      <c r="Z399" s="39"/>
      <c r="AA399" s="39"/>
      <c r="AB399" s="39"/>
      <c r="AC399" s="39"/>
      <c r="AD399" s="39"/>
    </row>
    <row r="400" spans="1:30" ht="18.75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93"/>
      <c r="V400" s="93"/>
      <c r="W400" s="99"/>
      <c r="X400" s="154"/>
      <c r="Y400" s="152"/>
      <c r="Z400" s="39"/>
      <c r="AA400" s="39"/>
      <c r="AB400" s="39"/>
      <c r="AC400" s="39"/>
      <c r="AD400" s="39"/>
    </row>
    <row r="401" spans="1:30" ht="18.75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93"/>
      <c r="V401" s="93"/>
      <c r="W401" s="99"/>
      <c r="X401" s="154"/>
      <c r="Y401" s="152"/>
      <c r="Z401" s="39"/>
      <c r="AA401" s="39"/>
      <c r="AB401" s="39"/>
      <c r="AC401" s="39"/>
      <c r="AD401" s="39"/>
    </row>
    <row r="402" spans="1:30" ht="18.75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93"/>
      <c r="V402" s="93"/>
      <c r="W402" s="99"/>
      <c r="X402" s="154"/>
      <c r="Y402" s="152"/>
      <c r="Z402" s="39"/>
      <c r="AA402" s="39"/>
      <c r="AB402" s="39"/>
      <c r="AC402" s="39"/>
      <c r="AD402" s="39"/>
    </row>
    <row r="403" spans="1:30" ht="18.75" x14ac:dyDescent="0.25">
      <c r="A403" s="39"/>
      <c r="B403" s="39"/>
      <c r="C403" s="93"/>
      <c r="D403" s="94"/>
      <c r="E403" s="94"/>
      <c r="F403" s="95"/>
      <c r="G403" s="39"/>
      <c r="H403" s="39"/>
      <c r="I403" s="39"/>
      <c r="J403" s="39"/>
      <c r="K403" s="39"/>
      <c r="L403" s="96"/>
      <c r="M403" s="96"/>
      <c r="N403" s="96"/>
      <c r="O403" s="93"/>
      <c r="P403" s="96"/>
      <c r="Q403" s="96"/>
      <c r="R403" s="93"/>
      <c r="S403" s="71"/>
      <c r="T403" s="71"/>
      <c r="U403" s="93"/>
      <c r="V403" s="93"/>
      <c r="W403" s="99"/>
      <c r="X403" s="154"/>
      <c r="Y403" s="152"/>
      <c r="Z403" s="39"/>
      <c r="AA403" s="39"/>
      <c r="AB403" s="39"/>
      <c r="AC403" s="39"/>
      <c r="AD403" s="39"/>
    </row>
    <row r="404" spans="1:30" ht="18.75" x14ac:dyDescent="0.25">
      <c r="A404" s="39"/>
      <c r="B404" s="39"/>
      <c r="C404" s="93"/>
      <c r="D404" s="94"/>
      <c r="E404" s="94"/>
      <c r="F404" s="95"/>
      <c r="G404" s="39"/>
      <c r="H404" s="39"/>
      <c r="I404" s="39"/>
      <c r="J404" s="39"/>
      <c r="K404" s="39"/>
      <c r="L404" s="96"/>
      <c r="M404" s="96"/>
      <c r="N404" s="96"/>
      <c r="O404" s="93"/>
      <c r="P404" s="96"/>
      <c r="Q404" s="96"/>
      <c r="R404" s="93"/>
      <c r="S404" s="71"/>
      <c r="T404" s="71"/>
      <c r="U404" s="93"/>
      <c r="V404" s="93"/>
      <c r="W404" s="99"/>
      <c r="X404" s="154"/>
      <c r="Y404" s="152"/>
      <c r="Z404" s="39"/>
      <c r="AA404" s="39"/>
      <c r="AB404" s="39"/>
      <c r="AC404" s="39"/>
      <c r="AD404" s="39"/>
    </row>
    <row r="405" spans="1:30" ht="18.75" x14ac:dyDescent="0.25">
      <c r="A405" s="39"/>
      <c r="B405" s="39"/>
      <c r="C405" s="93"/>
      <c r="D405" s="94"/>
      <c r="E405" s="94"/>
      <c r="F405" s="95"/>
      <c r="G405" s="39"/>
      <c r="H405" s="39"/>
      <c r="I405" s="39"/>
      <c r="J405" s="39"/>
      <c r="K405" s="39"/>
      <c r="L405" s="96"/>
      <c r="M405" s="96"/>
      <c r="N405" s="96"/>
      <c r="O405" s="93"/>
      <c r="P405" s="96"/>
      <c r="Q405" s="96"/>
      <c r="R405" s="93"/>
      <c r="S405" s="71"/>
      <c r="T405" s="71"/>
      <c r="U405" s="93"/>
      <c r="V405" s="93"/>
      <c r="W405" s="99"/>
      <c r="X405" s="154"/>
      <c r="Y405" s="152"/>
      <c r="Z405" s="39"/>
      <c r="AA405" s="39"/>
      <c r="AB405" s="39"/>
      <c r="AC405" s="39"/>
      <c r="AD405" s="39"/>
    </row>
    <row r="406" spans="1:30" ht="18.75" x14ac:dyDescent="0.25">
      <c r="C406" s="19"/>
      <c r="D406" s="20"/>
      <c r="E406" s="20"/>
      <c r="F406" s="21"/>
      <c r="L406" s="22"/>
      <c r="M406" s="22"/>
      <c r="N406" s="22"/>
      <c r="O406" s="19"/>
      <c r="P406" s="22"/>
      <c r="Q406" s="22"/>
      <c r="R406" s="19"/>
      <c r="S406" s="18"/>
      <c r="T406" s="18"/>
      <c r="U406" s="19"/>
      <c r="V406" s="19"/>
      <c r="W406" s="23"/>
      <c r="X406" s="24"/>
      <c r="Y406" s="7"/>
    </row>
    <row r="407" spans="1:30" ht="18.75" x14ac:dyDescent="0.25">
      <c r="C407" s="19"/>
      <c r="D407" s="20"/>
      <c r="E407" s="20"/>
      <c r="F407" s="21"/>
      <c r="L407" s="22"/>
      <c r="M407" s="22"/>
      <c r="N407" s="22"/>
      <c r="O407" s="19"/>
      <c r="P407" s="22"/>
      <c r="Q407" s="22"/>
      <c r="R407" s="19"/>
      <c r="S407" s="18"/>
      <c r="T407" s="18"/>
      <c r="U407" s="19"/>
      <c r="V407" s="19"/>
      <c r="W407" s="23"/>
      <c r="X407" s="24"/>
      <c r="Y407" s="7"/>
    </row>
    <row r="408" spans="1:30" ht="18.75" x14ac:dyDescent="0.25">
      <c r="C408" s="19"/>
      <c r="D408" s="20"/>
      <c r="E408" s="20"/>
      <c r="F408" s="21"/>
      <c r="L408" s="22"/>
      <c r="M408" s="22"/>
      <c r="N408" s="22"/>
      <c r="O408" s="19"/>
      <c r="P408" s="22"/>
      <c r="Q408" s="22"/>
      <c r="R408" s="19"/>
      <c r="S408" s="18"/>
      <c r="T408" s="18"/>
      <c r="U408" s="19"/>
      <c r="V408" s="19"/>
      <c r="W408" s="23"/>
      <c r="X408" s="24"/>
      <c r="Y408" s="7"/>
    </row>
    <row r="409" spans="1:30" ht="18.75" x14ac:dyDescent="0.25">
      <c r="C409" s="19"/>
      <c r="D409" s="20"/>
      <c r="E409" s="20"/>
      <c r="F409" s="21"/>
      <c r="L409" s="22"/>
      <c r="M409" s="22"/>
      <c r="N409" s="22"/>
      <c r="O409" s="19"/>
      <c r="P409" s="22"/>
      <c r="Q409" s="22"/>
      <c r="R409" s="19"/>
      <c r="S409" s="18"/>
      <c r="T409" s="18"/>
      <c r="U409" s="19"/>
      <c r="V409" s="19"/>
      <c r="W409" s="23"/>
      <c r="X409" s="24"/>
      <c r="Y409" s="7"/>
    </row>
    <row r="410" spans="1:30" ht="18.75" x14ac:dyDescent="0.25">
      <c r="C410" s="19"/>
      <c r="D410" s="20"/>
      <c r="E410" s="20"/>
      <c r="F410" s="21"/>
      <c r="L410" s="22"/>
      <c r="M410" s="22"/>
      <c r="N410" s="22"/>
      <c r="O410" s="19"/>
      <c r="P410" s="22"/>
      <c r="Q410" s="22"/>
      <c r="R410" s="19"/>
      <c r="S410" s="18"/>
      <c r="T410" s="18"/>
      <c r="U410" s="19"/>
      <c r="V410" s="19"/>
      <c r="W410" s="23"/>
      <c r="X410" s="24"/>
      <c r="Y410" s="7"/>
    </row>
    <row r="411" spans="1:30" ht="18.75" x14ac:dyDescent="0.25">
      <c r="U411" s="19"/>
      <c r="V411" s="19"/>
      <c r="W411" s="23"/>
      <c r="X411" s="24"/>
      <c r="Y411" s="7"/>
    </row>
    <row r="412" spans="1:30" ht="18.75" x14ac:dyDescent="0.25">
      <c r="U412" s="19"/>
      <c r="V412" s="19"/>
      <c r="W412" s="23"/>
      <c r="X412" s="24"/>
      <c r="Y412" s="7"/>
    </row>
    <row r="413" spans="1:30" ht="18.75" x14ac:dyDescent="0.25">
      <c r="X413" s="24"/>
      <c r="Y413" s="7"/>
    </row>
    <row r="414" spans="1:30" ht="18.75" x14ac:dyDescent="0.25">
      <c r="X414" s="24"/>
      <c r="Y414" s="7"/>
    </row>
    <row r="415" spans="1:30" ht="18.75" x14ac:dyDescent="0.25">
      <c r="X415" s="24"/>
      <c r="Y415" s="7"/>
    </row>
    <row r="416" spans="1:30" ht="18.75" x14ac:dyDescent="0.25">
      <c r="C416" s="19"/>
      <c r="D416" s="20"/>
      <c r="E416" s="20"/>
      <c r="F416" s="21"/>
      <c r="L416" s="22"/>
      <c r="M416" s="22"/>
      <c r="N416" s="22"/>
      <c r="O416" s="19"/>
      <c r="P416" s="22"/>
      <c r="Q416" s="22"/>
      <c r="R416" s="19"/>
      <c r="S416" s="18"/>
      <c r="T416" s="18"/>
      <c r="X416" s="24"/>
      <c r="Y416" s="7"/>
    </row>
    <row r="417" spans="3:25" ht="18.75" x14ac:dyDescent="0.25">
      <c r="C417" s="19"/>
      <c r="D417" s="20"/>
      <c r="E417" s="20"/>
      <c r="F417" s="21"/>
      <c r="L417" s="22"/>
      <c r="M417" s="22"/>
      <c r="N417" s="22"/>
      <c r="O417" s="19"/>
      <c r="P417" s="22"/>
      <c r="Q417" s="22"/>
      <c r="R417" s="19"/>
      <c r="S417" s="18"/>
      <c r="T417" s="18"/>
      <c r="X417" s="24"/>
      <c r="Y417" s="7"/>
    </row>
    <row r="418" spans="3:25" ht="18.75" x14ac:dyDescent="0.25">
      <c r="C418" s="19"/>
      <c r="D418" s="20"/>
      <c r="E418" s="20"/>
      <c r="F418" s="21"/>
      <c r="L418" s="22"/>
      <c r="M418" s="22"/>
      <c r="N418" s="22"/>
      <c r="O418" s="19"/>
      <c r="P418" s="22"/>
      <c r="Q418" s="22"/>
      <c r="R418" s="19"/>
      <c r="S418" s="18"/>
      <c r="T418" s="18"/>
      <c r="U418" s="19"/>
      <c r="V418" s="19"/>
      <c r="W418" s="23"/>
      <c r="X418" s="24"/>
      <c r="Y418" s="7"/>
    </row>
    <row r="419" spans="3:25" ht="18.75" x14ac:dyDescent="0.25">
      <c r="C419" s="19"/>
      <c r="D419" s="20"/>
      <c r="E419" s="20"/>
      <c r="F419" s="21"/>
      <c r="L419" s="22"/>
      <c r="M419" s="22"/>
      <c r="N419" s="22"/>
      <c r="O419" s="19"/>
      <c r="P419" s="22"/>
      <c r="Q419" s="22"/>
      <c r="R419" s="19"/>
      <c r="S419" s="18"/>
      <c r="T419" s="18"/>
      <c r="U419" s="19"/>
      <c r="V419" s="19"/>
      <c r="W419" s="23"/>
      <c r="X419" s="24"/>
      <c r="Y419" s="7"/>
    </row>
    <row r="420" spans="3:25" ht="18.75" x14ac:dyDescent="0.25">
      <c r="C420" s="19"/>
      <c r="D420" s="20"/>
      <c r="E420" s="20"/>
      <c r="F420" s="21"/>
      <c r="L420" s="22"/>
      <c r="M420" s="22"/>
      <c r="N420" s="22"/>
      <c r="O420" s="19"/>
      <c r="P420" s="22"/>
      <c r="Q420" s="22"/>
      <c r="R420" s="19"/>
      <c r="S420" s="18"/>
      <c r="T420" s="18"/>
      <c r="U420" s="19"/>
      <c r="V420" s="19"/>
      <c r="W420" s="23"/>
      <c r="X420" s="24"/>
      <c r="Y420" s="7"/>
    </row>
    <row r="421" spans="3:25" ht="18.75" x14ac:dyDescent="0.25">
      <c r="C421" s="19"/>
      <c r="D421" s="20"/>
      <c r="E421" s="20"/>
      <c r="F421" s="21"/>
      <c r="L421" s="22"/>
      <c r="M421" s="22"/>
      <c r="N421" s="22"/>
      <c r="O421" s="19"/>
      <c r="P421" s="22"/>
      <c r="Q421" s="22"/>
      <c r="R421" s="19"/>
      <c r="S421" s="18"/>
      <c r="T421" s="18"/>
      <c r="U421" s="19"/>
      <c r="V421" s="19"/>
      <c r="W421" s="23"/>
      <c r="X421" s="24"/>
      <c r="Y421" s="7"/>
    </row>
    <row r="422" spans="3:25" ht="18.75" x14ac:dyDescent="0.25">
      <c r="C422" s="19"/>
      <c r="D422" s="20"/>
      <c r="E422" s="20"/>
      <c r="F422" s="21"/>
      <c r="L422" s="22"/>
      <c r="M422" s="22"/>
      <c r="N422" s="22"/>
      <c r="O422" s="19"/>
      <c r="P422" s="22"/>
      <c r="Q422" s="22"/>
      <c r="R422" s="19"/>
      <c r="S422" s="18"/>
      <c r="T422" s="18"/>
      <c r="U422" s="19"/>
      <c r="V422" s="19"/>
      <c r="W422" s="23"/>
      <c r="X422" s="24"/>
      <c r="Y422" s="7"/>
    </row>
    <row r="423" spans="3:25" ht="18.75" x14ac:dyDescent="0.25">
      <c r="C423" s="19"/>
      <c r="D423" s="20"/>
      <c r="E423" s="20"/>
      <c r="F423" s="21"/>
      <c r="L423" s="22"/>
      <c r="M423" s="22"/>
      <c r="N423" s="22"/>
      <c r="O423" s="19"/>
      <c r="P423" s="22"/>
      <c r="Q423" s="22"/>
      <c r="R423" s="19"/>
      <c r="S423" s="18"/>
      <c r="T423" s="18"/>
      <c r="U423" s="19"/>
      <c r="V423" s="19"/>
      <c r="W423" s="23"/>
      <c r="X423" s="24"/>
      <c r="Y423" s="7"/>
    </row>
    <row r="424" spans="3:25" ht="18.75" x14ac:dyDescent="0.25">
      <c r="C424" s="19"/>
      <c r="D424" s="20"/>
      <c r="E424" s="20"/>
      <c r="F424" s="21"/>
      <c r="L424" s="22"/>
      <c r="M424" s="22"/>
      <c r="N424" s="22"/>
      <c r="O424" s="19"/>
      <c r="P424" s="22"/>
      <c r="Q424" s="22"/>
      <c r="R424" s="19"/>
      <c r="S424" s="18"/>
      <c r="T424" s="18"/>
      <c r="U424" s="19"/>
      <c r="V424" s="19"/>
      <c r="W424" s="23"/>
      <c r="X424" s="24"/>
      <c r="Y424" s="7"/>
    </row>
    <row r="425" spans="3:25" ht="18.75" x14ac:dyDescent="0.25">
      <c r="C425" s="19"/>
      <c r="D425" s="20"/>
      <c r="E425" s="20"/>
      <c r="F425" s="21"/>
      <c r="L425" s="22"/>
      <c r="M425" s="22"/>
      <c r="N425" s="22"/>
      <c r="O425" s="19"/>
      <c r="P425" s="22"/>
      <c r="Q425" s="22"/>
      <c r="R425" s="19"/>
      <c r="S425" s="18"/>
      <c r="T425" s="18"/>
      <c r="U425" s="19"/>
      <c r="V425" s="19"/>
      <c r="W425" s="23"/>
      <c r="X425" s="24"/>
      <c r="Y425" s="7"/>
    </row>
    <row r="426" spans="3:25" ht="18.75" x14ac:dyDescent="0.25">
      <c r="U426" s="19"/>
      <c r="V426" s="19"/>
      <c r="W426" s="23"/>
      <c r="X426" s="24"/>
      <c r="Y426" s="7"/>
    </row>
    <row r="427" spans="3:25" ht="18.75" x14ac:dyDescent="0.25">
      <c r="U427" s="19"/>
      <c r="V427" s="19"/>
      <c r="W427" s="23"/>
      <c r="X427" s="24"/>
      <c r="Y427" s="7"/>
    </row>
    <row r="428" spans="3:25" ht="18.75" x14ac:dyDescent="0.25">
      <c r="C428" s="19"/>
      <c r="D428" s="20"/>
      <c r="E428" s="20"/>
      <c r="F428" s="21"/>
      <c r="L428" s="22"/>
      <c r="M428" s="22"/>
      <c r="N428" s="22"/>
      <c r="O428" s="19"/>
      <c r="P428" s="22"/>
      <c r="Q428" s="22"/>
      <c r="R428" s="19"/>
      <c r="S428" s="18"/>
      <c r="T428" s="18"/>
      <c r="U428" s="19"/>
      <c r="V428" s="19"/>
      <c r="W428" s="23"/>
      <c r="X428" s="24"/>
      <c r="Y428" s="7"/>
    </row>
    <row r="429" spans="3:25" ht="18.75" x14ac:dyDescent="0.25">
      <c r="C429" s="19"/>
      <c r="D429" s="20"/>
      <c r="E429" s="20"/>
      <c r="F429" s="21"/>
      <c r="L429" s="22"/>
      <c r="M429" s="22"/>
      <c r="N429" s="22"/>
      <c r="O429" s="19"/>
      <c r="P429" s="22"/>
      <c r="Q429" s="22"/>
      <c r="R429" s="19"/>
      <c r="S429" s="18"/>
      <c r="T429" s="18"/>
      <c r="U429" s="19"/>
      <c r="V429" s="19"/>
      <c r="W429" s="23"/>
      <c r="X429" s="24"/>
      <c r="Y429" s="7"/>
    </row>
    <row r="430" spans="3:25" ht="18.75" x14ac:dyDescent="0.25">
      <c r="C430" s="19"/>
      <c r="D430" s="20"/>
      <c r="E430" s="20"/>
      <c r="F430" s="21"/>
      <c r="L430" s="22"/>
      <c r="M430" s="22"/>
      <c r="N430" s="22"/>
      <c r="O430" s="19"/>
      <c r="P430" s="22"/>
      <c r="Q430" s="22"/>
      <c r="R430" s="19"/>
      <c r="S430" s="18"/>
      <c r="T430" s="18"/>
      <c r="U430" s="19"/>
      <c r="V430" s="19"/>
      <c r="W430" s="23"/>
      <c r="X430" s="8"/>
      <c r="Y430" s="7"/>
    </row>
    <row r="431" spans="3:25" ht="23.25" x14ac:dyDescent="0.25">
      <c r="D431" s="19"/>
      <c r="E431" s="20"/>
      <c r="F431" s="21"/>
      <c r="H431" s="19"/>
      <c r="I431" s="19"/>
      <c r="J431" s="19"/>
      <c r="L431" s="21"/>
      <c r="M431" s="21"/>
      <c r="N431" s="21"/>
      <c r="O431" s="19"/>
      <c r="P431" s="21"/>
      <c r="Q431" s="21"/>
      <c r="R431" s="19"/>
      <c r="S431" s="18"/>
      <c r="T431" s="18"/>
      <c r="U431" s="25"/>
      <c r="V431" s="25"/>
      <c r="W431" s="8"/>
      <c r="Y431" s="7"/>
    </row>
    <row r="432" spans="3:25" ht="23.25" x14ac:dyDescent="0.25">
      <c r="D432" s="3"/>
      <c r="E432" s="26"/>
      <c r="F432" s="6"/>
      <c r="Q432" s="7"/>
      <c r="R432" s="7"/>
      <c r="S432" s="7"/>
      <c r="T432" s="27"/>
      <c r="U432" s="27"/>
      <c r="V432" s="28"/>
      <c r="W432" s="28"/>
      <c r="Y432" s="7"/>
    </row>
    <row r="433" spans="4:25" x14ac:dyDescent="0.25">
      <c r="X433" s="7"/>
      <c r="Y433" s="7"/>
    </row>
    <row r="436" spans="4:25" x14ac:dyDescent="0.25">
      <c r="W436" s="29"/>
    </row>
    <row r="437" spans="4:25" x14ac:dyDescent="0.25">
      <c r="W437" s="29"/>
    </row>
    <row r="438" spans="4:25" x14ac:dyDescent="0.25">
      <c r="D438" s="26"/>
      <c r="E438" s="30"/>
      <c r="W438" s="29"/>
    </row>
    <row r="439" spans="4:25" x14ac:dyDescent="0.25">
      <c r="D439" s="26"/>
      <c r="E439" s="30"/>
      <c r="W439" s="29"/>
    </row>
    <row r="440" spans="4:25" x14ac:dyDescent="0.25">
      <c r="E440" s="30"/>
      <c r="W440" s="29"/>
    </row>
    <row r="441" spans="4:25" x14ac:dyDescent="0.25">
      <c r="E441" s="30"/>
    </row>
    <row r="442" spans="4:25" x14ac:dyDescent="0.25">
      <c r="V442" s="31"/>
    </row>
    <row r="443" spans="4:25" x14ac:dyDescent="0.25">
      <c r="V443" s="31"/>
    </row>
    <row r="444" spans="4:25" x14ac:dyDescent="0.25">
      <c r="V444" s="31"/>
    </row>
    <row r="445" spans="4:25" x14ac:dyDescent="0.25">
      <c r="V445" s="31"/>
    </row>
    <row r="446" spans="4:25" x14ac:dyDescent="0.25">
      <c r="V446" s="31"/>
    </row>
    <row r="447" spans="4:25" x14ac:dyDescent="0.25">
      <c r="V447" s="31"/>
    </row>
  </sheetData>
  <sheetProtection password="ABEF" sheet="1" objects="1" scenarios="1" selectLockedCells="1" selectUnlockedCells="1"/>
  <mergeCells count="11">
    <mergeCell ref="B18:G18"/>
    <mergeCell ref="L18:O18"/>
    <mergeCell ref="P18:S18"/>
    <mergeCell ref="B19:C19"/>
    <mergeCell ref="B1:S1"/>
    <mergeCell ref="B2:S2"/>
    <mergeCell ref="B3:C3"/>
    <mergeCell ref="B4:G4"/>
    <mergeCell ref="H4:K4"/>
    <mergeCell ref="L4:O4"/>
    <mergeCell ref="P4:S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8</vt:i4>
      </vt:variant>
    </vt:vector>
  </HeadingPairs>
  <TitlesOfParts>
    <vt:vector size="17" baseType="lpstr">
      <vt:lpstr>ISTRUZIONI</vt:lpstr>
      <vt:lpstr>DATI</vt:lpstr>
      <vt:lpstr>Foglio2</vt:lpstr>
      <vt:lpstr>foglio deposito</vt:lpstr>
      <vt:lpstr>Verifica a Pressoflessione</vt:lpstr>
      <vt:lpstr>Progetto a Taglio</vt:lpstr>
      <vt:lpstr>GRAFICI</vt:lpstr>
      <vt:lpstr>caldom x</vt:lpstr>
      <vt:lpstr>caldom y</vt:lpstr>
      <vt:lpstr>CD</vt:lpstr>
      <vt:lpstr>clas</vt:lpstr>
      <vt:lpstr>DOM</vt:lpstr>
      <vt:lpstr>dut</vt:lpstr>
      <vt:lpstr>fer</vt:lpstr>
      <vt:lpstr>gn</vt:lpstr>
      <vt:lpstr>pf</vt:lpstr>
      <vt:lpstr>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Nicla</cp:lastModifiedBy>
  <dcterms:created xsi:type="dcterms:W3CDTF">2014-12-11T17:19:31Z</dcterms:created>
  <dcterms:modified xsi:type="dcterms:W3CDTF">2016-05-15T01:28:53Z</dcterms:modified>
</cp:coreProperties>
</file>