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COMPUTER\CONDIVISIONE GOOGLE\PROGRAMMI UTILI\COSTRUZIONI IN MURATURA\"/>
    </mc:Choice>
  </mc:AlternateContent>
  <workbookProtection workbookAlgorithmName="SHA-512" workbookHashValue="7f+1YQnZPTBbfTkaFEZ8C6uHbAz2RTqa4zk19jYhIFD0efmnSDwHCxLORDAycxfmPvgyGP0fbU/d1KqKSM9KPg==" workbookSaltValue="VCi4VZ5/DujU2VlDKb4vHA==" workbookSpinCount="100000" revisionsAlgorithmName="SHA-512" revisionsHashValue="s8n3u70TJAp1CNizQHIIR20w2R4yIJmhbZB3AXzAv4hyAuuJJJ7w7k69/wl67s7eKwa+X/tgQBmi2QtZPyxLqw==" revisionsSaltValue="HiJjGdoaKS0OtfRA6pbYUg==" revisionsSpinCount="100000" lockStructure="1" lockRevision="1"/>
  <bookViews>
    <workbookView xWindow="0" yWindow="0" windowWidth="20490" windowHeight="7620" tabRatio="801"/>
  </bookViews>
  <sheets>
    <sheet name="ISTRUZIONI" sheetId="1" r:id="rId1"/>
    <sheet name="DATI" sheetId="2" r:id="rId2"/>
    <sheet name="Caratteristiche Materiale" sheetId="3" r:id="rId3"/>
    <sheet name="FOGLIO DEPOSITO" sheetId="4" state="hidden" r:id="rId4"/>
    <sheet name="RESISTENZA MURATURA" sheetId="5" r:id="rId5"/>
    <sheet name="LEGAME COSTITUTIVO" sheetId="6" r:id="rId6"/>
    <sheet name="NTC18 &amp; CIRCOLARE2019" sheetId="7" r:id="rId7"/>
  </sheets>
  <definedNames>
    <definedName name="_xlnm._FilterDatabase" localSheetId="4" hidden="1">'RESISTENZA MURATURA'!$B$1:$F$3</definedName>
    <definedName name="an">'FOGLIO DEPOSITO'!$G$29:$G$31</definedName>
    <definedName name="ana">'FOGLIO DEPOSITO'!$G$29:$G$30</definedName>
    <definedName name="LC">'FOGLIO DEPOSITO'!$B$39:$B$41</definedName>
    <definedName name="MUR">'FOGLIO DEPOSITO'!$B$26:$B$33</definedName>
    <definedName name="mura">'FOGLIO DEPOSITO'!$B$26:$B$36</definedName>
    <definedName name="perc">'FOGLIO DEPOSITO'!$K$48:$K$50</definedName>
    <definedName name="sn">'FOGLIO DEPOSITO'!$G$26:$G$27</definedName>
    <definedName name="Z_008C3BE6_8B52_467A_965A_EFB0ED2F4BF4_.wvu.FilterData" localSheetId="4" hidden="1">'RESISTENZA MURATURA'!$B$1:$F$3</definedName>
    <definedName name="Z_4F428F85_A986_464A_BD5B_D43EDDD1A16A_.wvu.FilterData" localSheetId="4" hidden="1">'RESISTENZA MURATURA'!$B$1:$F$3</definedName>
    <definedName name="Z_DD657959_DBA4_44AA_BD36_35D76D92C4C8_.wvu.FilterData" localSheetId="4" hidden="1">'RESISTENZA MURATURA'!$B$1:$F$3</definedName>
    <definedName name="Z_F017CC66_3157_4857_B035_5B775CD5B9B9_.wvu.FilterData" localSheetId="4" hidden="1">'RESISTENZA MURATURA'!$B$1:$F$3</definedName>
  </definedNames>
  <calcPr calcId="162913"/>
  <customWorkbookViews>
    <customWorkbookView name="Davide - Visualizzazione personale" guid="{008C3BE6-8B52-467A-965A-EFB0ED2F4BF4}" mergeInterval="0" personalView="1" maximized="1" xWindow="-8" yWindow="-8" windowWidth="1382" windowHeight="744" tabRatio="801" activeSheetId="1"/>
    <customWorkbookView name="Leonardo Rigazzi - Visualizzazione personale" guid="{DD657959-DBA4-44AA-BD36-35D76D92C4C8}" mergeInterval="0" personalView="1" maximized="1" windowWidth="1920" windowHeight="803" tabRatio="801" activeSheetId="5"/>
    <customWorkbookView name="Davide Cicchini - Visualizzazione personale" guid="{4F428F85-A986-464A-BD5B-D43EDDD1A16A}" mergeInterval="0" personalView="1" maximized="1" xWindow="1352" yWindow="-145" windowWidth="1936" windowHeight="1056" tabRatio="801" activeSheetId="1"/>
    <customWorkbookView name="Utente - Visualizzazione personale" guid="{F017CC66-3157-4857-B035-5B775CD5B9B9}" mergeInterval="0" personalView="1" maximized="1" xWindow="-9" yWindow="-9" windowWidth="1938" windowHeight="1050" tabRatio="801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2" l="1"/>
  <c r="O82" i="4"/>
  <c r="O84" i="4"/>
  <c r="O86" i="4"/>
  <c r="O88" i="4"/>
  <c r="L13" i="3"/>
  <c r="K13" i="3"/>
  <c r="J13" i="3"/>
  <c r="H20" i="4" l="1"/>
  <c r="G20" i="4"/>
  <c r="H12" i="4"/>
  <c r="G12" i="4"/>
  <c r="F12" i="4"/>
  <c r="E12" i="4"/>
  <c r="D12" i="4"/>
  <c r="B27" i="4"/>
  <c r="B28" i="4"/>
  <c r="B29" i="4"/>
  <c r="B30" i="4"/>
  <c r="B31" i="4"/>
  <c r="B32" i="4"/>
  <c r="B33" i="4"/>
  <c r="B26" i="4"/>
  <c r="H19" i="4"/>
  <c r="G19" i="4"/>
  <c r="H11" i="4"/>
  <c r="G11" i="4"/>
  <c r="F11" i="4"/>
  <c r="E11" i="4"/>
  <c r="D11" i="4"/>
  <c r="H18" i="4"/>
  <c r="G18" i="4"/>
  <c r="H10" i="4"/>
  <c r="G10" i="4"/>
  <c r="F10" i="4"/>
  <c r="E10" i="4"/>
  <c r="D10" i="4"/>
  <c r="I17" i="4"/>
  <c r="H17" i="4"/>
  <c r="G17" i="4"/>
  <c r="H9" i="4"/>
  <c r="G9" i="4"/>
  <c r="F9" i="4"/>
  <c r="F8" i="4"/>
  <c r="F7" i="4"/>
  <c r="F6" i="4"/>
  <c r="F5" i="4"/>
  <c r="E9" i="4"/>
  <c r="D9" i="4"/>
  <c r="I16" i="4"/>
  <c r="D8" i="4"/>
  <c r="E5" i="4"/>
  <c r="D5" i="4"/>
  <c r="F45" i="2" l="1"/>
  <c r="H31" i="4"/>
  <c r="H21" i="2" l="1"/>
  <c r="N96" i="4"/>
  <c r="J14" i="3" s="1"/>
  <c r="B82" i="4"/>
  <c r="L11" i="3"/>
  <c r="L10" i="3"/>
  <c r="L9" i="3"/>
  <c r="L8" i="3"/>
  <c r="L12" i="3"/>
  <c r="L7" i="3"/>
  <c r="K8" i="3"/>
  <c r="K9" i="3"/>
  <c r="J9" i="3"/>
  <c r="J8" i="3"/>
  <c r="L15" i="3" l="1"/>
  <c r="K14" i="3"/>
  <c r="G19" i="6"/>
  <c r="E64" i="4"/>
  <c r="E11" i="6" l="1"/>
  <c r="G11" i="6"/>
  <c r="B12" i="6"/>
  <c r="B13" i="6" s="1"/>
  <c r="E13" i="6" s="1"/>
  <c r="E12" i="6"/>
  <c r="N31" i="6"/>
  <c r="N47" i="6"/>
  <c r="N48" i="6"/>
  <c r="N49" i="6"/>
  <c r="O49" i="6"/>
  <c r="N50" i="6"/>
  <c r="O50" i="6"/>
  <c r="D39" i="4"/>
  <c r="J84" i="4" s="1"/>
  <c r="I6" i="3" s="1"/>
  <c r="H84" i="4" l="1"/>
  <c r="M84" i="4"/>
  <c r="I84" i="4"/>
  <c r="B14" i="6"/>
  <c r="G12" i="6"/>
  <c r="G13" i="6" s="1"/>
  <c r="N45" i="6"/>
  <c r="N46" i="6"/>
  <c r="N38" i="6" l="1"/>
  <c r="E14" i="6"/>
  <c r="N44" i="6" s="1"/>
  <c r="B15" i="6"/>
  <c r="G14" i="6"/>
  <c r="N37" i="6"/>
  <c r="E15" i="6" l="1"/>
  <c r="N43" i="6" s="1"/>
  <c r="B16" i="6"/>
  <c r="G15" i="6"/>
  <c r="N36" i="6"/>
  <c r="B17" i="6" l="1"/>
  <c r="E16" i="6"/>
  <c r="N42" i="6" s="1"/>
  <c r="N35" i="6"/>
  <c r="G16" i="6"/>
  <c r="E17" i="6" l="1"/>
  <c r="N41" i="6" s="1"/>
  <c r="B18" i="6"/>
  <c r="G17" i="6"/>
  <c r="N34" i="6"/>
  <c r="G54" i="4"/>
  <c r="B4" i="3" l="1"/>
  <c r="F16" i="3" s="1"/>
  <c r="L16" i="3" s="1"/>
  <c r="B19" i="6"/>
  <c r="E19" i="6" s="1"/>
  <c r="N39" i="6" s="1"/>
  <c r="E18" i="6"/>
  <c r="N40" i="6" s="1"/>
  <c r="J27" i="4"/>
  <c r="G18" i="6"/>
  <c r="N33" i="6"/>
  <c r="I32" i="3"/>
  <c r="F7" i="5"/>
  <c r="F6" i="5"/>
  <c r="F5" i="5"/>
  <c r="F4" i="5"/>
  <c r="C6" i="5"/>
  <c r="C5" i="5"/>
  <c r="C4" i="5"/>
  <c r="F46" i="5" s="1"/>
  <c r="G6" i="3" l="1"/>
  <c r="N32" i="6"/>
  <c r="F16" i="2"/>
  <c r="I31" i="3" l="1"/>
  <c r="G53" i="4"/>
  <c r="J33" i="4"/>
  <c r="H88" i="4" s="1"/>
  <c r="J88" i="4" s="1"/>
  <c r="I9" i="3" s="1"/>
  <c r="J39" i="4"/>
  <c r="H91" i="4" s="1"/>
  <c r="J37" i="4"/>
  <c r="H90" i="4" s="1"/>
  <c r="J29" i="4"/>
  <c r="H86" i="4" s="1"/>
  <c r="J31" i="4"/>
  <c r="H87" i="4" s="1"/>
  <c r="J87" i="4" s="1"/>
  <c r="I8" i="3" s="1"/>
  <c r="J35" i="4"/>
  <c r="H89" i="4" s="1"/>
  <c r="G13" i="3" s="1"/>
  <c r="L6" i="3"/>
  <c r="L17" i="3" s="1"/>
  <c r="H6" i="3"/>
  <c r="J89" i="4" l="1"/>
  <c r="I13" i="3" s="1"/>
  <c r="G12" i="3"/>
  <c r="J86" i="4"/>
  <c r="I12" i="3" s="1"/>
  <c r="G10" i="3"/>
  <c r="J90" i="4"/>
  <c r="I10" i="3" s="1"/>
  <c r="G11" i="3"/>
  <c r="J91" i="4"/>
  <c r="I11" i="3" s="1"/>
  <c r="I87" i="4"/>
  <c r="H8" i="3" s="1"/>
  <c r="G8" i="3"/>
  <c r="I88" i="4"/>
  <c r="H9" i="3" s="1"/>
  <c r="G9" i="3"/>
  <c r="M94" i="4"/>
  <c r="I19" i="3" s="1"/>
  <c r="K91" i="4"/>
  <c r="J11" i="3" s="1"/>
  <c r="L91" i="4"/>
  <c r="K11" i="3" s="1"/>
  <c r="I91" i="4"/>
  <c r="H11" i="3" s="1"/>
  <c r="K86" i="4"/>
  <c r="J12" i="3" s="1"/>
  <c r="L86" i="4"/>
  <c r="K12" i="3" s="1"/>
  <c r="I86" i="4"/>
  <c r="H12" i="3" s="1"/>
  <c r="I89" i="4"/>
  <c r="H13" i="3" s="1"/>
  <c r="K90" i="4"/>
  <c r="J10" i="3" s="1"/>
  <c r="H85" i="4"/>
  <c r="G7" i="3" s="1"/>
  <c r="I90" i="4"/>
  <c r="H10" i="3" s="1"/>
  <c r="L90" i="4"/>
  <c r="K10" i="3" s="1"/>
  <c r="W8" i="4"/>
  <c r="W6" i="4"/>
  <c r="W10" i="4"/>
  <c r="W12" i="4"/>
  <c r="W13" i="4"/>
  <c r="H16" i="4"/>
  <c r="G16" i="4"/>
  <c r="H15" i="4"/>
  <c r="G15" i="4"/>
  <c r="H14" i="4"/>
  <c r="G14" i="4"/>
  <c r="H13" i="4"/>
  <c r="G13" i="4"/>
  <c r="H8" i="4"/>
  <c r="G8" i="4"/>
  <c r="E8" i="4"/>
  <c r="H7" i="4"/>
  <c r="G7" i="4"/>
  <c r="E7" i="4"/>
  <c r="D7" i="4"/>
  <c r="H6" i="4"/>
  <c r="G6" i="4"/>
  <c r="E6" i="4"/>
  <c r="H5" i="4"/>
  <c r="G5" i="4"/>
  <c r="G15" i="3" l="1"/>
  <c r="G16" i="3" s="1"/>
  <c r="G17" i="3" s="1"/>
  <c r="W4" i="4"/>
  <c r="K85" i="4"/>
  <c r="J7" i="3" s="1"/>
  <c r="J15" i="3" s="1"/>
  <c r="J16" i="3" s="1"/>
  <c r="J85" i="4"/>
  <c r="I7" i="3" s="1"/>
  <c r="I15" i="3" s="1"/>
  <c r="I16" i="3" s="1"/>
  <c r="I17" i="3" s="1"/>
  <c r="L85" i="4"/>
  <c r="K7" i="3" s="1"/>
  <c r="K15" i="3" s="1"/>
  <c r="K16" i="3" s="1"/>
  <c r="H94" i="4"/>
  <c r="K84" i="4"/>
  <c r="J6" i="3" s="1"/>
  <c r="L84" i="4"/>
  <c r="K6" i="3" s="1"/>
  <c r="I85" i="4"/>
  <c r="J19" i="3"/>
  <c r="G48" i="4"/>
  <c r="F11" i="5"/>
  <c r="F61" i="5" s="1"/>
  <c r="F94" i="5" s="1"/>
  <c r="F47" i="5"/>
  <c r="F48" i="5" s="1"/>
  <c r="J17" i="3" l="1"/>
  <c r="K17" i="3"/>
  <c r="H7" i="3"/>
  <c r="I20" i="3"/>
  <c r="I24" i="3" s="1"/>
  <c r="F13" i="5" s="1"/>
  <c r="F14" i="5" s="1"/>
  <c r="F15" i="5" s="1"/>
  <c r="J94" i="4"/>
  <c r="L94" i="4"/>
  <c r="I29" i="3" s="1"/>
  <c r="K94" i="4"/>
  <c r="I94" i="4" l="1"/>
  <c r="H15" i="3"/>
  <c r="H16" i="3" s="1"/>
  <c r="H17" i="3" s="1"/>
  <c r="I25" i="3" s="1"/>
  <c r="J25" i="3" s="1"/>
  <c r="G49" i="4"/>
  <c r="I26" i="3"/>
  <c r="J26" i="3" s="1"/>
  <c r="I22" i="3"/>
  <c r="J22" i="3" s="1"/>
  <c r="I28" i="3"/>
  <c r="J20" i="3"/>
  <c r="J29" i="3"/>
  <c r="F95" i="5"/>
  <c r="F96" i="5" s="1"/>
  <c r="I6" i="6"/>
  <c r="G50" i="4"/>
  <c r="J24" i="3"/>
  <c r="F62" i="5"/>
  <c r="F12" i="5"/>
  <c r="I21" i="3" l="1"/>
  <c r="F49" i="5"/>
  <c r="F50" i="5" s="1"/>
  <c r="F51" i="5" s="1"/>
  <c r="I7" i="6"/>
  <c r="D12" i="6" s="1"/>
  <c r="O48" i="6" s="1"/>
  <c r="J28" i="3"/>
  <c r="H16" i="6"/>
  <c r="O34" i="6" s="1"/>
  <c r="I25" i="6"/>
  <c r="I27" i="6"/>
  <c r="F12" i="6"/>
  <c r="F15" i="6"/>
  <c r="O43" i="6" s="1"/>
  <c r="F11" i="6"/>
  <c r="H11" i="6"/>
  <c r="G62" i="4" s="1"/>
  <c r="G63" i="4" s="1"/>
  <c r="I26" i="6"/>
  <c r="H19" i="6"/>
  <c r="O31" i="6" s="1"/>
  <c r="F13" i="6"/>
  <c r="O45" i="6" s="1"/>
  <c r="H12" i="6"/>
  <c r="O38" i="6" s="1"/>
  <c r="F14" i="6"/>
  <c r="O44" i="6" s="1"/>
  <c r="H13" i="6"/>
  <c r="O37" i="6" s="1"/>
  <c r="F16" i="6"/>
  <c r="O42" i="6" s="1"/>
  <c r="H14" i="6"/>
  <c r="O36" i="6" s="1"/>
  <c r="F17" i="6"/>
  <c r="O41" i="6" s="1"/>
  <c r="H15" i="6"/>
  <c r="O35" i="6" s="1"/>
  <c r="F18" i="6"/>
  <c r="O40" i="6" s="1"/>
  <c r="F19" i="6"/>
  <c r="O39" i="6" s="1"/>
  <c r="H17" i="6"/>
  <c r="O33" i="6" s="1"/>
  <c r="H18" i="6"/>
  <c r="O32" i="6" s="1"/>
  <c r="F63" i="5"/>
  <c r="F64" i="5"/>
  <c r="F65" i="5" s="1"/>
  <c r="J21" i="3" l="1"/>
  <c r="G51" i="4"/>
  <c r="O46" i="6"/>
  <c r="I22" i="6"/>
</calcChain>
</file>

<file path=xl/sharedStrings.xml><?xml version="1.0" encoding="utf-8"?>
<sst xmlns="http://schemas.openxmlformats.org/spreadsheetml/2006/main" count="331" uniqueCount="167">
  <si>
    <t>FC</t>
  </si>
  <si>
    <t>Verifica</t>
  </si>
  <si>
    <t>Mrd (Piano)</t>
  </si>
  <si>
    <r>
      <t>τ</t>
    </r>
    <r>
      <rPr>
        <b/>
        <sz val="9"/>
        <color theme="1"/>
        <rFont val="Calibri"/>
        <family val="2"/>
      </rPr>
      <t>0d</t>
    </r>
  </si>
  <si>
    <r>
      <t>τ</t>
    </r>
    <r>
      <rPr>
        <b/>
        <sz val="9"/>
        <color theme="1"/>
        <rFont val="Calibri"/>
        <family val="2"/>
      </rPr>
      <t>lim</t>
    </r>
  </si>
  <si>
    <t>Vrd</t>
  </si>
  <si>
    <r>
      <rPr>
        <sz val="14"/>
        <color theme="1"/>
        <rFont val="Calibri"/>
        <family val="2"/>
      </rPr>
      <t>γ</t>
    </r>
    <r>
      <rPr>
        <sz val="9"/>
        <color theme="1"/>
        <rFont val="Calibri"/>
        <family val="2"/>
      </rPr>
      <t>m</t>
    </r>
  </si>
  <si>
    <t>w</t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</si>
  <si>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</t>
    </r>
  </si>
  <si>
    <t>l</t>
  </si>
  <si>
    <t>t</t>
  </si>
  <si>
    <t>N</t>
  </si>
  <si>
    <t>b</t>
  </si>
  <si>
    <t>h</t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</si>
  <si>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d</t>
    </r>
  </si>
  <si>
    <t>T</t>
  </si>
  <si>
    <t>Mt</t>
  </si>
  <si>
    <t>Ml</t>
  </si>
  <si>
    <t>Valori di riferimento dei parametri meccanici medi e peso specifico per diverse tipologie di muratura.</t>
  </si>
  <si>
    <r>
      <t>fm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</si>
  <si>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indexed="8"/>
        <rFont val="Arial Narrow"/>
        <family val="2"/>
      </rPr>
      <t>τ</t>
    </r>
    <r>
      <rPr>
        <sz val="11"/>
        <color indexed="8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</si>
  <si>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E (N/mm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</si>
  <si>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G (N/mm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</si>
  <si>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w (kN/m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</si>
  <si>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t>Malta buona</t>
  </si>
  <si>
    <t>ricorsi o listature</t>
  </si>
  <si>
    <t>connessione</t>
  </si>
  <si>
    <t xml:space="preserve">Muratura in pietrame disordinata </t>
  </si>
  <si>
    <t xml:space="preserve">Muratura in pietre a spacco con buona tessitura </t>
  </si>
  <si>
    <t>Muratura in mattoni pieni e malta di calce</t>
  </si>
  <si>
    <t>H</t>
  </si>
  <si>
    <t>Livello di conoscenza</t>
  </si>
  <si>
    <t>LC</t>
  </si>
  <si>
    <t>LC2</t>
  </si>
  <si>
    <t>Fattore di confidenza</t>
  </si>
  <si>
    <t>lunghezza del pannello murario</t>
  </si>
  <si>
    <t>Spessore del pannello murario</t>
  </si>
  <si>
    <t>Altezza del pannello murario</t>
  </si>
  <si>
    <t>LC1</t>
  </si>
  <si>
    <t>LC3</t>
  </si>
  <si>
    <t>Connessione trasversale</t>
  </si>
  <si>
    <t>Ricorsi o listature</t>
  </si>
  <si>
    <t>Iniezioni di miscele leganti</t>
  </si>
  <si>
    <t>si</t>
  </si>
  <si>
    <t>no</t>
  </si>
  <si>
    <t>Iniezioni</t>
  </si>
  <si>
    <t>Intonaco arm</t>
  </si>
  <si>
    <t xml:space="preserve">lineare </t>
  </si>
  <si>
    <t>non lineare</t>
  </si>
  <si>
    <r>
      <t>τ</t>
    </r>
    <r>
      <rPr>
        <b/>
        <sz val="9"/>
        <color theme="1"/>
        <rFont val="Calibri"/>
        <family val="2"/>
      </rPr>
      <t>0</t>
    </r>
  </si>
  <si>
    <t>E</t>
  </si>
  <si>
    <t>G</t>
  </si>
  <si>
    <t>MURATURA ESISTENTE</t>
  </si>
  <si>
    <t>CARATTERISTICHE GEOMETRICHE</t>
  </si>
  <si>
    <t>TIPOLOGIA DELLA MURATURA</t>
  </si>
  <si>
    <t>SOLLECITAZIONI</t>
  </si>
  <si>
    <t>Sforno normale agente in testa al pannello</t>
  </si>
  <si>
    <t>Sforzo di taglio agente nel piano del pannello</t>
  </si>
  <si>
    <t>Momento flettente agente nel piano</t>
  </si>
  <si>
    <t>Momento flettente agente fuori del piano</t>
  </si>
  <si>
    <t>x</t>
  </si>
  <si>
    <r>
      <t>σ</t>
    </r>
    <r>
      <rPr>
        <b/>
        <sz val="9"/>
        <color theme="1"/>
        <rFont val="Calibri"/>
        <family val="2"/>
      </rPr>
      <t>medio</t>
    </r>
  </si>
  <si>
    <t>Fc</t>
  </si>
  <si>
    <t>Forza di compressione</t>
  </si>
  <si>
    <t>Tensione media di compressione</t>
  </si>
  <si>
    <t>Porzione compressa</t>
  </si>
  <si>
    <t>Momento resistente</t>
  </si>
  <si>
    <t>Coef. Correttivo legato alla distribuzione degli sforzi</t>
  </si>
  <si>
    <r>
      <t>f</t>
    </r>
    <r>
      <rPr>
        <b/>
        <sz val="9"/>
        <color theme="1"/>
        <rFont val="Calibri"/>
        <family val="2"/>
      </rPr>
      <t>td</t>
    </r>
  </si>
  <si>
    <t>Resistenza a taglio</t>
  </si>
  <si>
    <t>RIEPILOGO DATI</t>
  </si>
  <si>
    <t>VERIFICA A FLESSIONE NEL PIANO</t>
  </si>
  <si>
    <t>VERIFICA A FLESSIONE FUORI DEL PIANO</t>
  </si>
  <si>
    <t>VERIFICA A TAGLIO (TURNSEK-CACOVIC) C8.7.1.5</t>
  </si>
  <si>
    <t>coef.correttivo</t>
  </si>
  <si>
    <t>Definito il livello di conoscenza e le eventuali prove è possibile definire le caratteristiche meccaniche dei materiali come segue:</t>
  </si>
  <si>
    <t>LC3: sono obbligatorie le prove sui materiali (con martinetti piatti). Si distinguono tre casi in funzione del numero di provini a disposizione:</t>
  </si>
  <si>
    <t>a) sono disponibili tre o più provini per ogni tipologia di muratura:
- Resistenze (fm, t0): si assume il valore medio ottenuto dalle prove;
- Moduli elastici (E, G): si assume il valore medio ottenuto dalle prove o                                                                                                                                                                                                                                                                            il valore medio riportato in tabella.</t>
  </si>
  <si>
    <t>b) Sono disponibili due soli provini per ogni tipologia di muratura:
- Resistenze (fm, t0): se il valore medio ottenuto dalle prove è compreso nell’intervallo riportato in tabella,                                                                                                                                                                                          si assume come valore quello medio riportato in Tabella. Se il valore medio delle prove è maggiore                                                                                                                                                                                                  dell’estremo superiore riportato in tabella, si assume quest’ultimo come valore di resistenza per i materiali.                                                                                                                                                                                            Se il valore medio delle prove è inferiore al valore minimo riportato in tabella, si assume come valore quello medio delle prove;
- Moduli elastici (E, G): come il caso a).</t>
  </si>
  <si>
    <t>LC1: non sono richieste prove sui materiali ed i parametri meccanici sono definiti esclusivamente dalla tabella secondo le seguenti modalità:
- Resistenze (fm, t0): si assume il valore minimo riportato in tabella;
- Moduli elastici (E, G): si assume il valore medio riportato in tabella.</t>
  </si>
  <si>
    <t>LC2: non sono richieste prove sui materiali (ai fini della valutazione delle caratteristiche meccaniche). I parametri meccanici sono definititi esclusivamente dalla tabella secondo le seguenti modalità:
- Resistenze (fm, t0): si assume il valore medio riportato in tabella;
- Moduli elastici (E, G): come per LC1.</t>
  </si>
  <si>
    <t>c) È disponibile un solo provino per ogni tipologia di muratura:
- Resistenze (fm, t0): se il valore di resistenza della prova è maggiore del valore minimo riportato in tabella, si assume come valore medio quello riportato in tabella. Se il valore di resistenza della prova è inferiore al valore minimo riportato in tabella, si assume come valore medio quello della prova;
- Moduli elastici (E, G): come il caso a),</t>
  </si>
  <si>
    <t>Muratura armata</t>
  </si>
  <si>
    <t>CARATTERISTICHE DEI MATERIALI</t>
  </si>
  <si>
    <t>Peso specifico della muratura</t>
  </si>
  <si>
    <t>Resistenza media a compressione della muratura</t>
  </si>
  <si>
    <t>Resistenza media a taglio della muratura</t>
  </si>
  <si>
    <t>Resistenza di calcolo, a compressione della muratura</t>
  </si>
  <si>
    <t>Resistenza di calcolo, a taglio della muratura</t>
  </si>
  <si>
    <t>Coefficiente di sicurezza</t>
  </si>
  <si>
    <t>Valore medio del modulo di elasticità normale</t>
  </si>
  <si>
    <t>Valore medio del modulo di elasticità tangenziale</t>
  </si>
  <si>
    <t>Tipo di analisi</t>
  </si>
  <si>
    <t>Resistenza di calcolo per fessurazione diagonale</t>
  </si>
  <si>
    <t>Tensione resistente a taglio</t>
  </si>
  <si>
    <t>VERIFICA DI COMPRESSIONE</t>
  </si>
  <si>
    <t>www.davidecicchini.it</t>
  </si>
  <si>
    <t>Ing. Davide Cicchini</t>
  </si>
  <si>
    <t xml:space="preserve">Il foglio di calcolo definisce i parametri meccanici per la muratura esistente e </t>
  </si>
  <si>
    <t>consente di eseguire le verifiche a flessione e taglio di un pannello murarario</t>
  </si>
  <si>
    <t>[-]</t>
  </si>
  <si>
    <r>
      <t>kN/m</t>
    </r>
    <r>
      <rPr>
        <sz val="11"/>
        <color theme="1"/>
        <rFont val="Calibri"/>
        <family val="2"/>
      </rPr>
      <t>²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</si>
  <si>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md</t>
    </r>
  </si>
  <si>
    <r>
      <t>kN/m</t>
    </r>
    <r>
      <rPr>
        <sz val="11"/>
        <color theme="1"/>
        <rFont val="Calibri"/>
        <family val="2"/>
      </rPr>
      <t>³</t>
    </r>
  </si>
  <si>
    <t>Mpa</t>
  </si>
  <si>
    <t>E(0,4fu-0,2fu)</t>
  </si>
  <si>
    <t>E(0,2fu-0)</t>
  </si>
  <si>
    <t>E(0,4fu-0)</t>
  </si>
  <si>
    <t>Etan</t>
  </si>
  <si>
    <t>-</t>
  </si>
  <si>
    <r>
      <t>ε</t>
    </r>
    <r>
      <rPr>
        <b/>
        <sz val="9"/>
        <color theme="1"/>
        <rFont val="Calibri"/>
        <family val="2"/>
      </rPr>
      <t>u</t>
    </r>
  </si>
  <si>
    <t>ε₀</t>
  </si>
  <si>
    <t>σ</t>
  </si>
  <si>
    <t>ε</t>
  </si>
  <si>
    <t>ESPORTAZIONE</t>
  </si>
  <si>
    <t>parabola</t>
  </si>
  <si>
    <t>trazione</t>
  </si>
  <si>
    <t>Deformazione al picco di resistenza</t>
  </si>
  <si>
    <t>Deformazione ultima</t>
  </si>
  <si>
    <t>LEGAME COSTITUTIVO DELLA MURATURA</t>
  </si>
  <si>
    <t>Modulo elastico tangente</t>
  </si>
  <si>
    <t>Modulo elastico secante</t>
  </si>
  <si>
    <t>decadente</t>
  </si>
  <si>
    <t>100%</t>
  </si>
  <si>
    <t>75%</t>
  </si>
  <si>
    <t>50%</t>
  </si>
  <si>
    <t xml:space="preserve">Valore medio del modulo di elasticità normale </t>
  </si>
  <si>
    <t>Inserire i coefficienti correttivi manualmente?</t>
  </si>
  <si>
    <t>Coefficiente di sicurezza γm</t>
  </si>
  <si>
    <t>Condizione fessurata</t>
  </si>
  <si>
    <t>Rigidezza fessurata (100% = "non fessurato")</t>
  </si>
  <si>
    <t>(Opzione da usare con cautela)</t>
  </si>
  <si>
    <t>utente</t>
  </si>
  <si>
    <t>coefficiente definito da utente</t>
  </si>
  <si>
    <t>Muratura a conci sbozzati, con paramenti di limitato spessore disomogeneo</t>
  </si>
  <si>
    <t xml:space="preserve">Muratura irregolare di pietra tenera </t>
  </si>
  <si>
    <t>Muratura a conci regolari di pietra tenera</t>
  </si>
  <si>
    <t>fv0 (N/cm2)</t>
  </si>
  <si>
    <t>Muratura a blocchi lapidei squadrati</t>
  </si>
  <si>
    <t>Muratura in mattoni semipieni con malta cementizia (doppio UNI foratura&lt;40%)</t>
  </si>
  <si>
    <r>
      <t>fv0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</si>
  <si>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Intonco Armato</t>
  </si>
  <si>
    <t>Ristilatura armata con connessione dei paramenti</t>
  </si>
  <si>
    <t>stato di fatto</t>
  </si>
  <si>
    <t>interventi di consolidamento</t>
  </si>
  <si>
    <t xml:space="preserve">OSS: Per il ivello LC3 si considerano cautelativamente i valori medi delle caratterisitche </t>
  </si>
  <si>
    <t>meccaniche della muratura.</t>
  </si>
  <si>
    <t>RISTILATURA</t>
  </si>
  <si>
    <t>Intonaco Armato</t>
  </si>
  <si>
    <t>ristilatura armata</t>
  </si>
  <si>
    <t xml:space="preserve">Malta buona  (solo se la malta è &gt;2MPa) </t>
  </si>
  <si>
    <t>DIATONI ARTIFICIALI</t>
  </si>
  <si>
    <t>DIATONI ART</t>
  </si>
  <si>
    <t>Diatoni artificiali o tirantini antiespulsivi</t>
  </si>
  <si>
    <t>diatoni artificiali</t>
  </si>
  <si>
    <r>
      <rPr>
        <sz val="11"/>
        <color indexed="8"/>
        <rFont val="Arial Narrow"/>
        <family val="2"/>
      </rPr>
      <t>fv0</t>
    </r>
    <r>
      <rPr>
        <sz val="11"/>
        <color theme="1"/>
        <rFont val="Calibri"/>
        <family val="2"/>
        <scheme val="minor"/>
      </rPr>
      <t xml:space="preserve">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</si>
  <si>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Resistenza media a taglio in assenza di tensioni normali</t>
  </si>
  <si>
    <t>fv0</t>
  </si>
  <si>
    <t>Resistenza di calcolo a taglio in assenza di tensioni normali</t>
  </si>
  <si>
    <t>fv0,d</t>
  </si>
  <si>
    <t>max</t>
  </si>
  <si>
    <t>Coefficiente Risultante</t>
  </si>
  <si>
    <t>Coefficiente massimo applicabile</t>
  </si>
  <si>
    <t>COEFFICIENTE DA UTENTE</t>
  </si>
  <si>
    <t>In accordo al DM 17/01/2018 e alla circolare n.7 del  21/01/2019</t>
  </si>
  <si>
    <t>Ing. Leonardo Rigazzi</t>
  </si>
  <si>
    <t>Versione 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</si>
</sst>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.0"/>
    <numFmt numFmtId="165" formatCode="0&quot; mm&quot;"/>
    <numFmt numFmtId="166" formatCode="0.00&quot; m&quot;"/>
    <numFmt numFmtId="167" formatCode="0.0&quot; N/cm²&quot;"/>
    <numFmt numFmtId="168" formatCode="0.0&quot; m&quot;"/>
    <numFmt numFmtId="169" formatCode="0.0&quot; kN&quot;"/>
    <numFmt numFmtId="170" formatCode="0.0&quot; kNm&quot;"/>
    <numFmt numFmtId="171" formatCode="0.0&quot; kPa&quot;"/>
    <numFmt numFmtId="172" formatCode="0.00&quot; kNm&quot;"/>
    <numFmt numFmtId="173" formatCode="0.00&quot; N/mm²&quot;"/>
    <numFmt numFmtId="174" formatCode="0&quot; kN/m³&quot;"/>
    <numFmt numFmtId="175" formatCode="0.00&quot; kN&quot;"/>
    <numFmt numFmtId="176" formatCode="0.00&quot; kN/m²&quot;"/>
    <numFmt numFmtId="177" formatCode="0.0&quot; kN/m²&quot;"/>
    <numFmt numFmtId="178" formatCode="0&quot; kN/m²&quot;"/>
    <numFmt numFmtId="179" formatCode="0&quot; N/mm²&quot;"/>
    <numFmt numFmtId="180" formatCode="0.0&quot; t/m³&quot;"/>
    <numFmt numFmtId="181" formatCode="0.0000"/>
    <numFmt numFmtId="182" formatCode="0.00000"/>
    <numFmt numFmtId="183" formatCode="0.0&quot; N/mm²&quot;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9"/>
      <color theme="1"/>
      <name val="Calibri"/>
      <family val="2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i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left"/>
    </xf>
    <xf numFmtId="0" fontId="0" fillId="4" borderId="0" xfId="0" applyFill="1" applyBorder="1" applyAlignment="1">
      <alignment horizontal="center"/>
    </xf>
    <xf numFmtId="0" fontId="0" fillId="0" borderId="0" xfId="0" applyProtection="1"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6" fontId="0" fillId="0" borderId="2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9" fillId="0" borderId="0" xfId="0" applyFont="1" applyProtection="1">
      <protection hidden="1"/>
    </xf>
    <xf numFmtId="175" fontId="0" fillId="0" borderId="2" xfId="0" applyNumberFormat="1" applyBorder="1" applyAlignment="1" applyProtection="1">
      <alignment horizontal="center" vertical="center"/>
      <protection locked="0"/>
    </xf>
    <xf numFmtId="172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Protection="1"/>
    <xf numFmtId="0" fontId="1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center"/>
    </xf>
    <xf numFmtId="166" fontId="0" fillId="0" borderId="0" xfId="0" applyNumberFormat="1" applyBorder="1" applyAlignment="1" applyProtection="1">
      <alignment horizontal="center" vertical="center"/>
    </xf>
    <xf numFmtId="165" fontId="0" fillId="0" borderId="0" xfId="0" applyNumberForma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0" fontId="0" fillId="0" borderId="0" xfId="0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/>
    </xf>
    <xf numFmtId="0" fontId="18" fillId="0" borderId="0" xfId="0" applyFont="1" applyAlignment="1" applyProtection="1">
      <alignment horizontal="right"/>
    </xf>
    <xf numFmtId="0" fontId="18" fillId="0" borderId="0" xfId="0" applyFont="1" applyAlignment="1" applyProtection="1">
      <alignment horizontal="center" vertical="center"/>
    </xf>
    <xf numFmtId="0" fontId="0" fillId="0" borderId="0" xfId="0" applyFill="1" applyProtection="1"/>
    <xf numFmtId="1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" fontId="0" fillId="0" borderId="0" xfId="0" applyNumberFormat="1"/>
    <xf numFmtId="164" fontId="0" fillId="0" borderId="0" xfId="0" applyNumberFormat="1" applyFont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2" fontId="0" fillId="3" borderId="0" xfId="0" applyNumberForma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9" fontId="0" fillId="3" borderId="0" xfId="0" quotePrefix="1" applyNumberFormat="1" applyFill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13" xfId="0" applyBorder="1" applyProtection="1">
      <protection hidden="1"/>
    </xf>
    <xf numFmtId="0" fontId="0" fillId="0" borderId="12" xfId="0" applyBorder="1" applyProtection="1"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182" fontId="0" fillId="0" borderId="1" xfId="0" applyNumberFormat="1" applyBorder="1" applyAlignment="1" applyProtection="1">
      <alignment horizontal="center" vertical="center"/>
      <protection hidden="1"/>
    </xf>
    <xf numFmtId="181" fontId="0" fillId="0" borderId="1" xfId="0" applyNumberFormat="1" applyBorder="1" applyAlignment="1" applyProtection="1">
      <alignment horizontal="center" vertical="center"/>
      <protection hidden="1"/>
    </xf>
    <xf numFmtId="181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77" fontId="0" fillId="0" borderId="1" xfId="0" applyNumberFormat="1" applyBorder="1" applyAlignment="1" applyProtection="1">
      <alignment horizontal="center" vertical="center"/>
      <protection hidden="1"/>
    </xf>
    <xf numFmtId="177" fontId="0" fillId="0" borderId="1" xfId="0" applyNumberFormat="1" applyFont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" xfId="0" applyBorder="1" applyAlignment="1"/>
    <xf numFmtId="0" fontId="0" fillId="0" borderId="0" xfId="0" applyBorder="1" applyAlignment="1">
      <alignment vertical="center" wrapText="1"/>
    </xf>
    <xf numFmtId="0" fontId="0" fillId="0" borderId="15" xfId="0" applyFill="1" applyBorder="1" applyAlignment="1"/>
    <xf numFmtId="0" fontId="0" fillId="0" borderId="15" xfId="0" applyBorder="1" applyAlignment="1"/>
    <xf numFmtId="167" fontId="15" fillId="3" borderId="0" xfId="0" applyNumberFormat="1" applyFont="1" applyFill="1" applyAlignment="1">
      <alignment horizontal="center" vertical="center"/>
    </xf>
    <xf numFmtId="0" fontId="18" fillId="3" borderId="0" xfId="0" applyFont="1" applyFill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169" fontId="0" fillId="0" borderId="1" xfId="0" applyNumberForma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/>
      <protection hidden="1"/>
    </xf>
    <xf numFmtId="170" fontId="0" fillId="0" borderId="1" xfId="0" applyNumberFormat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168" fontId="0" fillId="0" borderId="0" xfId="0" applyNumberFormat="1" applyBorder="1" applyAlignment="1" applyProtection="1">
      <alignment horizont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171" fontId="0" fillId="0" borderId="1" xfId="0" applyNumberForma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72" fontId="0" fillId="0" borderId="1" xfId="0" applyNumberFormat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 applyProtection="1">
      <alignment horizontal="center" vertical="center"/>
      <protection hidden="1"/>
    </xf>
    <xf numFmtId="183" fontId="15" fillId="0" borderId="0" xfId="0" applyNumberFormat="1" applyFont="1" applyAlignment="1" applyProtection="1">
      <alignment horizontal="center" vertical="center"/>
      <protection hidden="1"/>
    </xf>
    <xf numFmtId="174" fontId="15" fillId="0" borderId="0" xfId="0" applyNumberFormat="1" applyFont="1" applyAlignment="1" applyProtection="1">
      <alignment horizontal="center" vertical="center"/>
      <protection hidden="1"/>
    </xf>
    <xf numFmtId="173" fontId="0" fillId="0" borderId="0" xfId="0" applyNumberForma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0" xfId="0" applyFill="1"/>
    <xf numFmtId="0" fontId="0" fillId="5" borderId="0" xfId="0" applyFill="1" applyBorder="1" applyAlignment="1">
      <alignment horizontal="center"/>
    </xf>
    <xf numFmtId="0" fontId="13" fillId="5" borderId="1" xfId="0" applyFont="1" applyFill="1" applyBorder="1" applyAlignment="1">
      <alignment horizontal="left"/>
    </xf>
    <xf numFmtId="0" fontId="0" fillId="5" borderId="1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8" fillId="5" borderId="0" xfId="0" applyFont="1" applyFill="1" applyAlignment="1" applyProtection="1">
      <alignment horizontal="center" vertical="center"/>
    </xf>
    <xf numFmtId="0" fontId="18" fillId="5" borderId="0" xfId="0" applyFont="1" applyFill="1" applyAlignment="1" applyProtection="1">
      <alignment horizontal="right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1" xfId="0" applyFill="1" applyBorder="1" applyAlignment="1"/>
    <xf numFmtId="0" fontId="0" fillId="0" borderId="11" xfId="0" applyFill="1" applyBorder="1" applyAlignment="1">
      <alignment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8" fillId="3" borderId="0" xfId="0" applyFont="1" applyFill="1" applyProtection="1"/>
    <xf numFmtId="0" fontId="18" fillId="3" borderId="0" xfId="0" applyFont="1" applyFill="1" applyAlignment="1" applyProtection="1">
      <alignment horizontal="right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left"/>
    </xf>
    <xf numFmtId="0" fontId="0" fillId="2" borderId="0" xfId="0" applyFill="1"/>
    <xf numFmtId="2" fontId="0" fillId="0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0" borderId="0" xfId="0" applyAlignment="1" applyProtection="1">
      <alignment horizontal="left"/>
      <protection hidden="1"/>
    </xf>
    <xf numFmtId="174" fontId="0" fillId="0" borderId="1" xfId="0" applyNumberFormat="1" applyBorder="1" applyAlignment="1" applyProtection="1">
      <alignment horizontal="center" vertical="center"/>
      <protection hidden="1"/>
    </xf>
    <xf numFmtId="176" fontId="0" fillId="0" borderId="1" xfId="0" applyNumberFormat="1" applyBorder="1" applyAlignment="1" applyProtection="1">
      <alignment horizontal="center" vertical="center"/>
      <protection hidden="1"/>
    </xf>
    <xf numFmtId="179" fontId="0" fillId="0" borderId="1" xfId="0" applyNumberForma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0" fillId="6" borderId="1" xfId="0" applyFill="1" applyBorder="1" applyProtection="1"/>
    <xf numFmtId="0" fontId="0" fillId="0" borderId="14" xfId="0" applyBorder="1" applyAlignment="1">
      <alignment horizontal="center" vertical="center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21" fillId="0" borderId="0" xfId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21" fillId="0" borderId="0" xfId="1" applyAlignment="1" applyProtection="1">
      <alignment horizontal="center"/>
      <protection locked="0"/>
    </xf>
    <xf numFmtId="0" fontId="20" fillId="5" borderId="0" xfId="0" applyFont="1" applyFill="1" applyAlignment="1" applyProtection="1">
      <alignment horizontal="center"/>
      <protection hidden="1"/>
    </xf>
    <xf numFmtId="14" fontId="20" fillId="5" borderId="0" xfId="0" applyNumberFormat="1" applyFont="1" applyFill="1" applyAlignment="1" applyProtection="1">
      <alignment horizontal="center"/>
      <protection hidden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center" vertical="center" wrapText="1"/>
    </xf>
    <xf numFmtId="0" fontId="23" fillId="0" borderId="0" xfId="0" applyFont="1" applyFill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hidden="1"/>
    </xf>
    <xf numFmtId="173" fontId="0" fillId="0" borderId="1" xfId="0" applyNumberFormat="1" applyBorder="1" applyAlignment="1" applyProtection="1">
      <alignment horizontal="center" vertical="center"/>
      <protection hidden="1"/>
    </xf>
    <xf numFmtId="178" fontId="0" fillId="0" borderId="1" xfId="0" applyNumberFormat="1" applyBorder="1" applyAlignment="1" applyProtection="1">
      <alignment horizontal="center" vertical="center"/>
      <protection hidden="1"/>
    </xf>
    <xf numFmtId="180" fontId="0" fillId="0" borderId="1" xfId="0" applyNumberForma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0" fillId="0" borderId="18" xfId="0" applyBorder="1" applyAlignment="1" applyProtection="1">
      <alignment horizontal="left" vertical="center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</cellXfs>
  <cellStyles count="2">
    <cellStyle name="Collegamento ipertestuale" xfId="1" builtinId="8"/>
    <cellStyle name="Normale" xfId="0" builtinId="0"/>
  </cellStyles>
  <dxfs count="12"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Legame costitutivo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'LEGAME COSTITUTIVO'!$E$11:$E$19</c:f>
              <c:numCache>
                <c:formatCode>0.00000</c:formatCode>
                <c:ptCount val="9"/>
                <c:pt idx="0">
                  <c:v>0</c:v>
                </c:pt>
                <c:pt idx="1">
                  <c:v>-2.2499999999999999E-4</c:v>
                </c:pt>
                <c:pt idx="2">
                  <c:v>-4.4999999999999999E-4</c:v>
                </c:pt>
                <c:pt idx="3">
                  <c:v>-6.7500000000000004E-4</c:v>
                </c:pt>
                <c:pt idx="4">
                  <c:v>-8.9999999999999998E-4</c:v>
                </c:pt>
                <c:pt idx="5">
                  <c:v>-1.1249999999999999E-3</c:v>
                </c:pt>
                <c:pt idx="6">
                  <c:v>-1.3500000000000001E-3</c:v>
                </c:pt>
                <c:pt idx="7">
                  <c:v>-1.575E-3</c:v>
                </c:pt>
                <c:pt idx="8">
                  <c:v>-1.8E-3</c:v>
                </c:pt>
              </c:numCache>
            </c:numRef>
          </c:xVal>
          <c:yVal>
            <c:numRef>
              <c:f>'LEGAME COSTITUTIVO'!$F$11:$F$19</c:f>
              <c:numCache>
                <c:formatCode>0</c:formatCode>
                <c:ptCount val="9"/>
                <c:pt idx="0" formatCode="General">
                  <c:v>0</c:v>
                </c:pt>
                <c:pt idx="1">
                  <c:v>-86.805555555555543</c:v>
                </c:pt>
                <c:pt idx="2">
                  <c:v>-162.03703703703701</c:v>
                </c:pt>
                <c:pt idx="3">
                  <c:v>-225.69444444444443</c:v>
                </c:pt>
                <c:pt idx="4">
                  <c:v>-277.77777777777771</c:v>
                </c:pt>
                <c:pt idx="5">
                  <c:v>-318.28703703703707</c:v>
                </c:pt>
                <c:pt idx="6">
                  <c:v>-347.22222222222217</c:v>
                </c:pt>
                <c:pt idx="7">
                  <c:v>-364.58333333333326</c:v>
                </c:pt>
                <c:pt idx="8">
                  <c:v>-370.37037037037032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E6-41B1-82D6-92605A1B5F0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'LEGAME COSTITUTIVO'!$G$11:$G$19</c:f>
              <c:numCache>
                <c:formatCode>0.0000</c:formatCode>
                <c:ptCount val="9"/>
                <c:pt idx="0">
                  <c:v>-1.8E-3</c:v>
                </c:pt>
                <c:pt idx="1">
                  <c:v>-1.9499999999999999E-3</c:v>
                </c:pt>
                <c:pt idx="2">
                  <c:v>-2.0999999999999999E-3</c:v>
                </c:pt>
                <c:pt idx="3">
                  <c:v>-2.2499999999999998E-3</c:v>
                </c:pt>
                <c:pt idx="4">
                  <c:v>-2.3999999999999998E-3</c:v>
                </c:pt>
                <c:pt idx="5">
                  <c:v>-2.5499999999999997E-3</c:v>
                </c:pt>
                <c:pt idx="6">
                  <c:v>-2.6999999999999997E-3</c:v>
                </c:pt>
                <c:pt idx="7">
                  <c:v>-2.8499999999999997E-3</c:v>
                </c:pt>
                <c:pt idx="8">
                  <c:v>-3.0000000000000001E-3</c:v>
                </c:pt>
              </c:numCache>
            </c:numRef>
          </c:xVal>
          <c:yVal>
            <c:numRef>
              <c:f>'LEGAME COSTITUTIVO'!$H$11:$H$19</c:f>
              <c:numCache>
                <c:formatCode>0</c:formatCode>
                <c:ptCount val="9"/>
                <c:pt idx="0">
                  <c:v>-370.37037037037032</c:v>
                </c:pt>
                <c:pt idx="1">
                  <c:v>-367.79835390946494</c:v>
                </c:pt>
                <c:pt idx="2">
                  <c:v>-360.082304526749</c:v>
                </c:pt>
                <c:pt idx="3">
                  <c:v>-347.22222222222229</c:v>
                </c:pt>
                <c:pt idx="4">
                  <c:v>-329.21810699588468</c:v>
                </c:pt>
                <c:pt idx="5">
                  <c:v>-306.06995884773653</c:v>
                </c:pt>
                <c:pt idx="6">
                  <c:v>-277.77777777777794</c:v>
                </c:pt>
                <c:pt idx="7">
                  <c:v>-244.34156378600824</c:v>
                </c:pt>
                <c:pt idx="8">
                  <c:v>-205.76131687242787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E6-41B1-82D6-92605A1B5F03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'LEGAME COSTITUTIVO'!$C$11:$C$14</c:f>
              <c:numCache>
                <c:formatCode>General</c:formatCode>
                <c:ptCount val="4"/>
                <c:pt idx="0">
                  <c:v>0</c:v>
                </c:pt>
                <c:pt idx="1">
                  <c:v>1.4999999999999999E-4</c:v>
                </c:pt>
                <c:pt idx="2">
                  <c:v>1.5E-3</c:v>
                </c:pt>
              </c:numCache>
            </c:numRef>
          </c:xVal>
          <c:yVal>
            <c:numRef>
              <c:f>'LEGAME COSTITUTIVO'!$D$11:$D$14</c:f>
              <c:numCache>
                <c:formatCode>0</c:formatCode>
                <c:ptCount val="4"/>
                <c:pt idx="0">
                  <c:v>0</c:v>
                </c:pt>
                <c:pt idx="1">
                  <c:v>130.5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E6-41B1-82D6-92605A1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987968"/>
        <c:axId val="219989888"/>
      </c:scatterChart>
      <c:valAx>
        <c:axId val="21998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ε</a:t>
                </a:r>
                <a:endParaRPr lang="it-IT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9989888"/>
        <c:crosses val="autoZero"/>
        <c:crossBetween val="midCat"/>
      </c:valAx>
      <c:valAx>
        <c:axId val="21998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600"/>
                  <a:t>σ</a:t>
                </a:r>
                <a:endParaRPr lang="it-IT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9987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Stress Block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'FOGLIO DEPOSITO'!$E$60:$E$64</c:f>
              <c:numCache>
                <c:formatCode>General</c:formatCode>
                <c:ptCount val="5"/>
                <c:pt idx="0">
                  <c:v>0</c:v>
                </c:pt>
                <c:pt idx="1">
                  <c:v>-6.9999999999999999E-4</c:v>
                </c:pt>
                <c:pt idx="2">
                  <c:v>-6.9999999999999999E-4</c:v>
                </c:pt>
                <c:pt idx="3">
                  <c:v>-3.5000000000000001E-3</c:v>
                </c:pt>
                <c:pt idx="4">
                  <c:v>-3.5000000000000001E-3</c:v>
                </c:pt>
              </c:numCache>
            </c:numRef>
          </c:xVal>
          <c:yVal>
            <c:numRef>
              <c:f>'FOGLIO DEPOSITO'!$G$60:$G$64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 formatCode="0">
                  <c:v>-370.37037037037032</c:v>
                </c:pt>
                <c:pt idx="3" formatCode="0">
                  <c:v>-370.37037037037032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A6-43B6-8B6A-531C93568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002560"/>
        <c:axId val="221532544"/>
      </c:scatterChart>
      <c:valAx>
        <c:axId val="22000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800" b="0" i="0" baseline="0">
                    <a:effectLst/>
                  </a:rPr>
                  <a:t>ε</a:t>
                </a:r>
                <a:endParaRPr lang="it-IT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21532544"/>
        <c:crosses val="autoZero"/>
        <c:crossBetween val="midCat"/>
      </c:valAx>
      <c:valAx>
        <c:axId val="22153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800" b="0" i="0" baseline="0">
                    <a:effectLst/>
                  </a:rPr>
                  <a:t>σ</a:t>
                </a:r>
                <a:endParaRPr lang="it-IT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2000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518160</xdr:colOff>
      <xdr:row>3</xdr:row>
      <xdr:rowOff>156138</xdr:rowOff>
    </xdr:to>
    <xdr:pic>
      <xdr:nvPicPr>
        <xdr:cNvPr id="2" name="Immagine 1" descr="Cattur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90500"/>
          <a:ext cx="5394960" cy="537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264582</xdr:colOff>
      <xdr:row>23</xdr:row>
      <xdr:rowOff>169331</xdr:rowOff>
    </xdr:from>
    <xdr:to>
      <xdr:col>4</xdr:col>
      <xdr:colOff>964142</xdr:colOff>
      <xdr:row>26</xdr:row>
      <xdr:rowOff>143301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ttangolo 2"/>
            <xdr:cNvSpPr/>
          </xdr:nvSpPr>
          <xdr:spPr>
            <a:xfrm>
              <a:off x="2889249" y="6085414"/>
              <a:ext cx="1704976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it-IT" sz="140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0.85 </m:t>
                        </m:r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0">
                            <a:latin typeface="Cambria Math" panose="02040503050406030204" pitchFamily="18" charset="0"/>
                          </a:rPr>
                          <m:t> 0,8 </m:t>
                        </m:r>
                        <m:r>
                          <m:rPr>
                            <m:sty m:val="p"/>
                          </m:rPr>
                          <a:rPr lang="it-IT" sz="1400" b="0" i="0">
                            <a:latin typeface="Cambria Math" panose="02040503050406030204" pitchFamily="18" charset="0"/>
                          </a:rPr>
                          <m:t>t</m:t>
                        </m:r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3" name="Rettangolo 2"/>
            <xdr:cNvSpPr/>
          </xdr:nvSpPr>
          <xdr:spPr>
            <a:xfrm>
              <a:off x="2889249" y="6085414"/>
              <a:ext cx="1704976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𝑥=</a:t>
              </a:r>
              <a:r>
                <a:rPr lang="it-IT" sz="1400" b="0" i="0">
                  <a:latin typeface="Cambria Math" panose="02040503050406030204" pitchFamily="18" charset="0"/>
                </a:rPr>
                <a:t>𝑁/(</a:t>
              </a:r>
              <a:r>
                <a:rPr lang="it-IT" sz="1400" i="0">
                  <a:latin typeface="Cambria Math" panose="02040503050406030204" pitchFamily="18" charset="0"/>
                </a:rPr>
                <a:t>0.85 𝑓_𝑑  </a:t>
              </a:r>
              <a:r>
                <a:rPr lang="it-IT" sz="1400" b="0" i="0">
                  <a:latin typeface="Cambria Math" panose="02040503050406030204" pitchFamily="18" charset="0"/>
                </a:rPr>
                <a:t> 0,8 t</a:t>
              </a:r>
              <a:r>
                <a:rPr lang="it-IT" sz="1400" i="0">
                  <a:latin typeface="Cambria Math" panose="02040503050406030204" pitchFamily="18" charset="0"/>
                </a:rPr>
                <a:t> )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306915</xdr:colOff>
      <xdr:row>30</xdr:row>
      <xdr:rowOff>0</xdr:rowOff>
    </xdr:from>
    <xdr:to>
      <xdr:col>5</xdr:col>
      <xdr:colOff>46565</xdr:colOff>
      <xdr:row>49</xdr:row>
      <xdr:rowOff>260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Rettangolo 3"/>
            <xdr:cNvSpPr/>
          </xdr:nvSpPr>
          <xdr:spPr>
            <a:xfrm>
              <a:off x="2931582" y="7249583"/>
              <a:ext cx="1866900" cy="57176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</m:e>
                          <m:sub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𝑅𝑑</m:t>
                            </m:r>
                          </m:sub>
                        </m:s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 </m:t>
                    </m:r>
                    <m:d>
                      <m:dPr>
                        <m:begChr m:val="["/>
                        <m:endChr m:val="]"/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𝑙</m:t>
                            </m:r>
                          </m:num>
                          <m:den>
                            <m:r>
                              <a:rPr lang="it-IT" sz="140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−0.4 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d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4" name="Rettangolo 3"/>
            <xdr:cNvSpPr/>
          </xdr:nvSpPr>
          <xdr:spPr>
            <a:xfrm>
              <a:off x="2931582" y="7249583"/>
              <a:ext cx="1866900" cy="57176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𝑀_𝑅𝑑=</a:t>
              </a:r>
              <a:r>
                <a:rPr lang="it-IT" sz="1400" i="0">
                  <a:latin typeface="Cambria Math" panose="02040503050406030204" pitchFamily="18" charset="0"/>
                </a:rPr>
                <a:t>𝐹〗_𝑐   [</a:t>
              </a:r>
              <a:r>
                <a:rPr lang="it-IT" sz="1400" b="0" i="0">
                  <a:latin typeface="Cambria Math" panose="02040503050406030204" pitchFamily="18" charset="0"/>
                </a:rPr>
                <a:t>𝑙/</a:t>
              </a:r>
              <a:r>
                <a:rPr lang="it-IT" sz="1400" i="0">
                  <a:latin typeface="Cambria Math" panose="02040503050406030204" pitchFamily="18" charset="0"/>
                </a:rPr>
                <a:t>2−0.4 𝑥]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222250</xdr:colOff>
      <xdr:row>27</xdr:row>
      <xdr:rowOff>116417</xdr:rowOff>
    </xdr:from>
    <xdr:to>
      <xdr:col>4</xdr:col>
      <xdr:colOff>1102784</xdr:colOff>
      <xdr:row>29</xdr:row>
      <xdr:rowOff>46913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ttangolo 4"/>
            <xdr:cNvSpPr/>
          </xdr:nvSpPr>
          <xdr:spPr>
            <a:xfrm>
              <a:off x="2846917" y="6794500"/>
              <a:ext cx="1885950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0">
                        <a:latin typeface="Cambria Math" panose="02040503050406030204" pitchFamily="18" charset="0"/>
                      </a:rPr>
                      <m:t>=0,85 </m:t>
                    </m:r>
                    <m:sSub>
                      <m:sSubPr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it-IT" sz="1400" b="0" i="1">
                        <a:latin typeface="Cambria Math" panose="02040503050406030204" pitchFamily="18" charset="0"/>
                      </a:rPr>
                      <m:t> 0,8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𝑡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5" name="Rettangolo 4"/>
            <xdr:cNvSpPr/>
          </xdr:nvSpPr>
          <xdr:spPr>
            <a:xfrm>
              <a:off x="2846917" y="6794500"/>
              <a:ext cx="1885950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𝐹_𝑐  </a:t>
              </a:r>
              <a:r>
                <a:rPr lang="it-IT" sz="1400" b="0" i="0">
                  <a:latin typeface="Cambria Math" panose="02040503050406030204" pitchFamily="18" charset="0"/>
                </a:rPr>
                <a:t>=0,85 𝑓_𝑑  0,8 𝑥 𝑡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719669</xdr:colOff>
      <xdr:row>18</xdr:row>
      <xdr:rowOff>126998</xdr:rowOff>
    </xdr:from>
    <xdr:to>
      <xdr:col>4</xdr:col>
      <xdr:colOff>785286</xdr:colOff>
      <xdr:row>20</xdr:row>
      <xdr:rowOff>169333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Rettangolo 6"/>
            <xdr:cNvSpPr/>
          </xdr:nvSpPr>
          <xdr:spPr>
            <a:xfrm>
              <a:off x="2338919" y="5090581"/>
              <a:ext cx="2076450" cy="423335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7" name="Rettangolo 6"/>
            <xdr:cNvSpPr/>
          </xdr:nvSpPr>
          <xdr:spPr>
            <a:xfrm>
              <a:off x="2338919" y="5090581"/>
              <a:ext cx="2076450" cy="423335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𝑁=</a:t>
              </a:r>
              <a:r>
                <a:rPr lang="it-IT" sz="1400" i="0">
                  <a:latin typeface="Cambria Math" panose="02040503050406030204" pitchFamily="18" charset="0"/>
                </a:rPr>
                <a:t>𝐹〗_𝑐  </a:t>
              </a:r>
              <a:endParaRPr lang="it-IT" sz="1400"/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375237</xdr:colOff>
      <xdr:row>89</xdr:row>
      <xdr:rowOff>124492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948836" y="11299336"/>
          <a:ext cx="4505992" cy="1380654"/>
        </a:xfrm>
        <a:prstGeom prst="rect">
          <a:avLst/>
        </a:prstGeom>
      </xdr:spPr>
    </xdr:pic>
    <xdr:clientData/>
  </xdr:twoCellAnchor>
  <xdr:twoCellAnchor>
    <xdr:from>
      <xdr:col>3</xdr:col>
      <xdr:colOff>74082</xdr:colOff>
      <xdr:row>73</xdr:row>
      <xdr:rowOff>52916</xdr:rowOff>
    </xdr:from>
    <xdr:to>
      <xdr:col>4</xdr:col>
      <xdr:colOff>773642</xdr:colOff>
      <xdr:row>76</xdr:row>
      <xdr:rowOff>26886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Rettangolo 8"/>
            <xdr:cNvSpPr/>
          </xdr:nvSpPr>
          <xdr:spPr>
            <a:xfrm>
              <a:off x="2434165" y="12837583"/>
              <a:ext cx="1704977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it-IT" sz="140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0.85 </m:t>
                        </m:r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0">
                            <a:latin typeface="Cambria Math" panose="02040503050406030204" pitchFamily="18" charset="0"/>
                          </a:rPr>
                          <m:t> 0,8 </m:t>
                        </m:r>
                        <m:r>
                          <m:rPr>
                            <m:sty m:val="p"/>
                          </m:rPr>
                          <a:rPr lang="it-IT" sz="1400" b="0" i="0">
                            <a:latin typeface="Cambria Math" panose="02040503050406030204" pitchFamily="18" charset="0"/>
                          </a:rPr>
                          <m:t>l</m:t>
                        </m:r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9" name="Rettangolo 8"/>
            <xdr:cNvSpPr/>
          </xdr:nvSpPr>
          <xdr:spPr>
            <a:xfrm>
              <a:off x="2434165" y="12837583"/>
              <a:ext cx="1704977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𝑥=</a:t>
              </a:r>
              <a:r>
                <a:rPr lang="it-IT" sz="1400" b="0" i="0">
                  <a:latin typeface="Cambria Math" panose="02040503050406030204" pitchFamily="18" charset="0"/>
                </a:rPr>
                <a:t>𝑁/(</a:t>
              </a:r>
              <a:r>
                <a:rPr lang="it-IT" sz="1400" i="0">
                  <a:latin typeface="Cambria Math" panose="02040503050406030204" pitchFamily="18" charset="0"/>
                </a:rPr>
                <a:t>0.85 𝑓_𝑑  </a:t>
              </a:r>
              <a:r>
                <a:rPr lang="it-IT" sz="1400" b="0" i="0">
                  <a:latin typeface="Cambria Math" panose="02040503050406030204" pitchFamily="18" charset="0"/>
                </a:rPr>
                <a:t> 0,8 l</a:t>
              </a:r>
              <a:r>
                <a:rPr lang="it-IT" sz="1400" i="0">
                  <a:latin typeface="Cambria Math" panose="02040503050406030204" pitchFamily="18" charset="0"/>
                </a:rPr>
                <a:t> )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201082</xdr:colOff>
      <xdr:row>79</xdr:row>
      <xdr:rowOff>95249</xdr:rowOff>
    </xdr:from>
    <xdr:to>
      <xdr:col>4</xdr:col>
      <xdr:colOff>1062566</xdr:colOff>
      <xdr:row>82</xdr:row>
      <xdr:rowOff>10998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Rettangolo 9"/>
            <xdr:cNvSpPr/>
          </xdr:nvSpPr>
          <xdr:spPr>
            <a:xfrm>
              <a:off x="2561165" y="14022916"/>
              <a:ext cx="1866901" cy="487249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</m:e>
                          <m:sub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𝑅𝑑</m:t>
                            </m:r>
                          </m:sub>
                        </m:s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 </m:t>
                    </m:r>
                    <m:d>
                      <m:dPr>
                        <m:begChr m:val="["/>
                        <m:endChr m:val="]"/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r>
                              <a:rPr lang="it-IT" sz="140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−0.4 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d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0" name="Rettangolo 9"/>
            <xdr:cNvSpPr/>
          </xdr:nvSpPr>
          <xdr:spPr>
            <a:xfrm>
              <a:off x="2561165" y="14022916"/>
              <a:ext cx="1866901" cy="487249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𝑀_𝑅𝑑=</a:t>
              </a:r>
              <a:r>
                <a:rPr lang="it-IT" sz="1400" i="0">
                  <a:latin typeface="Cambria Math" panose="02040503050406030204" pitchFamily="18" charset="0"/>
                </a:rPr>
                <a:t>𝐹〗_𝑐   [</a:t>
              </a:r>
              <a:r>
                <a:rPr lang="it-IT" sz="1400" b="0" i="0">
                  <a:latin typeface="Cambria Math" panose="02040503050406030204" pitchFamily="18" charset="0"/>
                </a:rPr>
                <a:t>𝑡/</a:t>
              </a:r>
              <a:r>
                <a:rPr lang="it-IT" sz="1400" i="0">
                  <a:latin typeface="Cambria Math" panose="02040503050406030204" pitchFamily="18" charset="0"/>
                </a:rPr>
                <a:t>2−0.4 𝑥]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52916</xdr:colOff>
      <xdr:row>76</xdr:row>
      <xdr:rowOff>179916</xdr:rowOff>
    </xdr:from>
    <xdr:to>
      <xdr:col>4</xdr:col>
      <xdr:colOff>933450</xdr:colOff>
      <xdr:row>78</xdr:row>
      <xdr:rowOff>110412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Rettangolo 10"/>
            <xdr:cNvSpPr/>
          </xdr:nvSpPr>
          <xdr:spPr>
            <a:xfrm>
              <a:off x="2412999" y="13536083"/>
              <a:ext cx="1885951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0">
                        <a:latin typeface="Cambria Math" panose="02040503050406030204" pitchFamily="18" charset="0"/>
                      </a:rPr>
                      <m:t>=0,85 </m:t>
                    </m:r>
                    <m:sSub>
                      <m:sSubPr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it-IT" sz="1400" b="0" i="1">
                        <a:latin typeface="Cambria Math" panose="02040503050406030204" pitchFamily="18" charset="0"/>
                      </a:rPr>
                      <m:t> 0,8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𝑙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1" name="Rettangolo 10"/>
            <xdr:cNvSpPr/>
          </xdr:nvSpPr>
          <xdr:spPr>
            <a:xfrm>
              <a:off x="2412999" y="13536083"/>
              <a:ext cx="1885951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𝐹_𝑐  </a:t>
              </a:r>
              <a:r>
                <a:rPr lang="it-IT" sz="1400" b="0" i="0">
                  <a:latin typeface="Cambria Math" panose="02040503050406030204" pitchFamily="18" charset="0"/>
                </a:rPr>
                <a:t>=0,85 𝑓_𝑑  0,8 𝑥 𝑙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550335</xdr:colOff>
      <xdr:row>68</xdr:row>
      <xdr:rowOff>21166</xdr:rowOff>
    </xdr:from>
    <xdr:to>
      <xdr:col>4</xdr:col>
      <xdr:colOff>615952</xdr:colOff>
      <xdr:row>69</xdr:row>
      <xdr:rowOff>169333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Rettangolo 11"/>
            <xdr:cNvSpPr/>
          </xdr:nvSpPr>
          <xdr:spPr>
            <a:xfrm>
              <a:off x="1905002" y="11853333"/>
              <a:ext cx="2076450" cy="338667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2" name="Rettangolo 11"/>
            <xdr:cNvSpPr/>
          </xdr:nvSpPr>
          <xdr:spPr>
            <a:xfrm>
              <a:off x="1905002" y="11853333"/>
              <a:ext cx="2076450" cy="338667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𝑁=</a:t>
              </a:r>
              <a:r>
                <a:rPr lang="it-IT" sz="1400" i="0">
                  <a:latin typeface="Cambria Math" panose="02040503050406030204" pitchFamily="18" charset="0"/>
                </a:rPr>
                <a:t>𝐹〗_𝑐  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846667</xdr:colOff>
      <xdr:row>20</xdr:row>
      <xdr:rowOff>127001</xdr:rowOff>
    </xdr:from>
    <xdr:to>
      <xdr:col>4</xdr:col>
      <xdr:colOff>912284</xdr:colOff>
      <xdr:row>22</xdr:row>
      <xdr:rowOff>63503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Rettangolo 12"/>
            <xdr:cNvSpPr/>
          </xdr:nvSpPr>
          <xdr:spPr>
            <a:xfrm>
              <a:off x="2465917" y="5471584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𝜎</m:t>
                        </m:r>
                      </m:e>
                      <m:sub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𝑚𝑒𝑑𝑖𝑜</m:t>
                        </m:r>
                      </m:sub>
                    </m:sSub>
                    <m:r>
                      <a:rPr lang="it-IT" sz="1400" b="0" i="1" kern="12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𝑙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𝑡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3" name="Rettangolo 12"/>
            <xdr:cNvSpPr/>
          </xdr:nvSpPr>
          <xdr:spPr>
            <a:xfrm>
              <a:off x="2465917" y="5471584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𝜎_𝑚𝑒𝑑𝑖𝑜</a:t>
              </a:r>
              <a:r>
                <a:rPr lang="it-IT" sz="14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it-IT" sz="1400" b="0" i="0">
                  <a:latin typeface="Cambria Math" panose="02040503050406030204" pitchFamily="18" charset="0"/>
                </a:rPr>
                <a:t>𝑁/(𝑙 𝑡)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645583</xdr:colOff>
      <xdr:row>70</xdr:row>
      <xdr:rowOff>21166</xdr:rowOff>
    </xdr:from>
    <xdr:to>
      <xdr:col>4</xdr:col>
      <xdr:colOff>711200</xdr:colOff>
      <xdr:row>71</xdr:row>
      <xdr:rowOff>148168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Rettangolo 14"/>
            <xdr:cNvSpPr/>
          </xdr:nvSpPr>
          <xdr:spPr>
            <a:xfrm>
              <a:off x="2000250" y="12234333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𝜎</m:t>
                        </m:r>
                      </m:e>
                      <m:sub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𝑚𝑒𝑑𝑖𝑜</m:t>
                        </m:r>
                      </m:sub>
                    </m:sSub>
                    <m:r>
                      <a:rPr lang="it-IT" sz="1400" b="0" i="1" kern="12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𝑙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𝑡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5" name="Rettangolo 14"/>
            <xdr:cNvSpPr/>
          </xdr:nvSpPr>
          <xdr:spPr>
            <a:xfrm>
              <a:off x="2000250" y="12234333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𝜎_𝑚𝑒𝑑𝑖𝑜</a:t>
              </a:r>
              <a:r>
                <a:rPr lang="it-IT" sz="14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it-IT" sz="1400" b="0" i="0">
                  <a:latin typeface="Cambria Math" panose="02040503050406030204" pitchFamily="18" charset="0"/>
                </a:rPr>
                <a:t>𝑁/(𝑙 𝑡)</a:t>
              </a:r>
              <a:endParaRPr lang="it-IT" sz="1400"/>
            </a:p>
          </xdr:txBody>
        </xdr:sp>
      </mc:Fallback>
    </mc:AlternateContent>
    <xdr:clientData/>
  </xdr:twoCellAnchor>
  <xdr:oneCellAnchor>
    <xdr:from>
      <xdr:col>3</xdr:col>
      <xdr:colOff>1068919</xdr:colOff>
      <xdr:row>52</xdr:row>
      <xdr:rowOff>42334</xdr:rowOff>
    </xdr:from>
    <xdr:ext cx="3005666" cy="6365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asellaDiTesto 15"/>
            <xdr:cNvSpPr txBox="1"/>
          </xdr:nvSpPr>
          <xdr:spPr>
            <a:xfrm>
              <a:off x="3302002" y="10128251"/>
              <a:ext cx="3005666" cy="6365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𝑅𝑑</m:t>
                        </m:r>
                      </m:sub>
                    </m:sSub>
                    <m:r>
                      <a:rPr lang="it-IT" sz="14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f>
                      <m:fPr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1,5 </m:t>
                        </m:r>
                        <m:sSub>
                          <m:sSubPr>
                            <m:ctrlPr>
                              <a:rPr lang="it-IT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𝜏</m:t>
                            </m:r>
                          </m:e>
                          <m:sub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0</m:t>
                            </m:r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</m:num>
                      <m:den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den>
                    </m:f>
                    <m:rad>
                      <m:radPr>
                        <m:degHide m:val="on"/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1+</m:t>
                        </m:r>
                        <m:f>
                          <m:fPr>
                            <m:ctrlPr>
                              <a:rPr lang="it-IT" sz="14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it-IT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it-IT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b>
                                <m:r>
                                  <a:rPr lang="it-IT" sz="1400" b="0" i="1">
                                    <a:latin typeface="Cambria Math" panose="02040503050406030204" pitchFamily="18" charset="0"/>
                                  </a:rPr>
                                  <m:t>0</m:t>
                                </m:r>
                              </m:sub>
                            </m:sSub>
                          </m:num>
                          <m:den>
                            <m:r>
                              <a:rPr lang="it-IT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1,5 </m:t>
                            </m:r>
                            <m:sSub>
                              <m:sSubPr>
                                <m:ctrlP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𝜏</m:t>
                                </m:r>
                              </m:e>
                              <m:sub>
                                <m: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  <m: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sub>
                            </m:sSub>
                          </m:den>
                        </m:f>
                      </m:e>
                    </m:rad>
                  </m:oMath>
                </m:oMathPara>
              </a14:m>
              <a:endParaRPr lang="it-IT" sz="1100"/>
            </a:p>
          </xdr:txBody>
        </xdr:sp>
      </mc:Choice>
      <mc:Fallback xmlns="">
        <xdr:sp macro="" textlink="">
          <xdr:nvSpPr>
            <xdr:cNvPr id="16" name="CasellaDiTesto 15"/>
            <xdr:cNvSpPr txBox="1"/>
          </xdr:nvSpPr>
          <xdr:spPr>
            <a:xfrm>
              <a:off x="3302002" y="10128251"/>
              <a:ext cx="3005666" cy="6365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it-IT" sz="1400" b="0" i="0">
                  <a:latin typeface="Cambria Math" panose="02040503050406030204" pitchFamily="18" charset="0"/>
                </a:rPr>
                <a:t>𝑉_𝑅𝑑=𝑙 𝑡  (1,5 </a:t>
              </a:r>
              <a:r>
                <a:rPr lang="it-I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𝜏_</a:t>
              </a:r>
              <a:r>
                <a:rPr lang="it-IT" sz="1400" b="0" i="0">
                  <a:latin typeface="Cambria Math" panose="02040503050406030204" pitchFamily="18" charset="0"/>
                </a:rPr>
                <a:t>0𝑑)/𝑏 √(1+</a:t>
              </a:r>
              <a:r>
                <a:rPr lang="it-I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it-IT" sz="1400" b="0" i="0">
                  <a:latin typeface="Cambria Math" panose="02040503050406030204" pitchFamily="18" charset="0"/>
                </a:rPr>
                <a:t>0/(</a:t>
              </a:r>
              <a:r>
                <a:rPr lang="it-IT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1,5 𝜏_0𝑑 ))</a:t>
              </a:r>
              <a:endParaRPr lang="it-IT" sz="1100"/>
            </a:p>
          </xdr:txBody>
        </xdr:sp>
      </mc:Fallback>
    </mc:AlternateContent>
    <xdr:clientData/>
  </xdr:oneCellAnchor>
  <xdr:twoCellAnchor editAs="oneCell">
    <xdr:from>
      <xdr:col>1</xdr:col>
      <xdr:colOff>91784</xdr:colOff>
      <xdr:row>15</xdr:row>
      <xdr:rowOff>174370</xdr:rowOff>
    </xdr:from>
    <xdr:to>
      <xdr:col>3</xdr:col>
      <xdr:colOff>10583</xdr:colOff>
      <xdr:row>41</xdr:row>
      <xdr:rowOff>167750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-1194340" y="4550827"/>
          <a:ext cx="4946380" cy="19296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4762</xdr:rowOff>
    </xdr:from>
    <xdr:to>
      <xdr:col>11</xdr:col>
      <xdr:colOff>381000</xdr:colOff>
      <xdr:row>47</xdr:row>
      <xdr:rowOff>152400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48</xdr:row>
      <xdr:rowOff>42862</xdr:rowOff>
    </xdr:from>
    <xdr:to>
      <xdr:col>8</xdr:col>
      <xdr:colOff>276225</xdr:colOff>
      <xdr:row>62</xdr:row>
      <xdr:rowOff>119062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190499</xdr:rowOff>
    </xdr:from>
    <xdr:to>
      <xdr:col>13</xdr:col>
      <xdr:colOff>264982</xdr:colOff>
      <xdr:row>42</xdr:row>
      <xdr:rowOff>161924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7810499"/>
          <a:ext cx="7580182" cy="5114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42</xdr:row>
      <xdr:rowOff>113195</xdr:rowOff>
    </xdr:from>
    <xdr:to>
      <xdr:col>13</xdr:col>
      <xdr:colOff>278909</xdr:colOff>
      <xdr:row>70</xdr:row>
      <xdr:rowOff>9524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1" y="12876695"/>
          <a:ext cx="7527433" cy="52303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</xdr:row>
      <xdr:rowOff>142875</xdr:rowOff>
    </xdr:from>
    <xdr:to>
      <xdr:col>13</xdr:col>
      <xdr:colOff>279810</xdr:colOff>
      <xdr:row>102</xdr:row>
      <xdr:rowOff>46584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8049875"/>
          <a:ext cx="7585485" cy="619020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102</xdr:row>
      <xdr:rowOff>25572</xdr:rowOff>
    </xdr:from>
    <xdr:to>
      <xdr:col>13</xdr:col>
      <xdr:colOff>209550</xdr:colOff>
      <xdr:row>121</xdr:row>
      <xdr:rowOff>85106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24219072"/>
          <a:ext cx="7562850" cy="367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121</xdr:row>
      <xdr:rowOff>66675</xdr:rowOff>
    </xdr:from>
    <xdr:to>
      <xdr:col>13</xdr:col>
      <xdr:colOff>238908</xdr:colOff>
      <xdr:row>134</xdr:row>
      <xdr:rowOff>94830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1" y="27879675"/>
          <a:ext cx="7563632" cy="2504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134</xdr:row>
      <xdr:rowOff>98488</xdr:rowOff>
    </xdr:from>
    <xdr:to>
      <xdr:col>13</xdr:col>
      <xdr:colOff>342901</xdr:colOff>
      <xdr:row>168</xdr:row>
      <xdr:rowOff>37033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6" y="30387988"/>
          <a:ext cx="7677150" cy="641554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168</xdr:row>
      <xdr:rowOff>54246</xdr:rowOff>
    </xdr:from>
    <xdr:to>
      <xdr:col>13</xdr:col>
      <xdr:colOff>285750</xdr:colOff>
      <xdr:row>181</xdr:row>
      <xdr:rowOff>28170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36820746"/>
          <a:ext cx="7581900" cy="245042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180</xdr:row>
      <xdr:rowOff>72284</xdr:rowOff>
    </xdr:from>
    <xdr:to>
      <xdr:col>13</xdr:col>
      <xdr:colOff>314325</xdr:colOff>
      <xdr:row>212</xdr:row>
      <xdr:rowOff>38099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39124784"/>
          <a:ext cx="7639050" cy="606181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212</xdr:row>
      <xdr:rowOff>3497</xdr:rowOff>
    </xdr:from>
    <xdr:to>
      <xdr:col>13</xdr:col>
      <xdr:colOff>419100</xdr:colOff>
      <xdr:row>235</xdr:row>
      <xdr:rowOff>151664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350" y="45151997"/>
          <a:ext cx="7781925" cy="4529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235</xdr:row>
      <xdr:rowOff>123825</xdr:rowOff>
    </xdr:from>
    <xdr:to>
      <xdr:col>13</xdr:col>
      <xdr:colOff>417475</xdr:colOff>
      <xdr:row>238</xdr:row>
      <xdr:rowOff>190499</xdr:rowOff>
    </xdr:to>
    <xdr:pic>
      <xdr:nvPicPr>
        <xdr:cNvPr id="22" name="Immagine 2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2259"/>
        <a:stretch/>
      </xdr:blipFill>
      <xdr:spPr>
        <a:xfrm>
          <a:off x="133349" y="49653825"/>
          <a:ext cx="7780301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238</xdr:row>
      <xdr:rowOff>171450</xdr:rowOff>
    </xdr:from>
    <xdr:to>
      <xdr:col>13</xdr:col>
      <xdr:colOff>508867</xdr:colOff>
      <xdr:row>267</xdr:row>
      <xdr:rowOff>46761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0" y="50272950"/>
          <a:ext cx="7909792" cy="539981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267</xdr:row>
      <xdr:rowOff>28575</xdr:rowOff>
    </xdr:from>
    <xdr:to>
      <xdr:col>13</xdr:col>
      <xdr:colOff>467533</xdr:colOff>
      <xdr:row>287</xdr:row>
      <xdr:rowOff>151773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4776" y="55654575"/>
          <a:ext cx="7858932" cy="393319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288</xdr:row>
      <xdr:rowOff>59007</xdr:rowOff>
    </xdr:from>
    <xdr:to>
      <xdr:col>13</xdr:col>
      <xdr:colOff>295276</xdr:colOff>
      <xdr:row>295</xdr:row>
      <xdr:rowOff>75981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301" y="59685507"/>
          <a:ext cx="7677150" cy="1350474"/>
        </a:xfrm>
        <a:prstGeom prst="rect">
          <a:avLst/>
        </a:prstGeom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BC4FBC3-3E07-453A-9895-76A33F6C8CAE}" diskRevisions="1" revisionId="1" version="2" protected="1">
  <header guid="{C059BBB7-160F-460A-A731-EA558D7FCC6D}" dateTime="2020-06-21T13:29:39" maxSheetId="8" userName="Davide" r:id="rId1">
    <sheetIdMap count="7">
      <sheetId val="1"/>
      <sheetId val="2"/>
      <sheetId val="3"/>
      <sheetId val="4"/>
      <sheetId val="5"/>
      <sheetId val="6"/>
      <sheetId val="7"/>
    </sheetIdMap>
  </header>
  <header guid="{BBC4FBC3-3E07-453A-9895-76A33F6C8CAE}" dateTime="2020-06-21T14:40:40" maxSheetId="8" userName="Davide" r:id="rId2">
    <sheetIdMap count="7">
      <sheetId val="1"/>
      <sheetId val="2"/>
      <sheetId val="3"/>
      <sheetId val="4"/>
      <sheetId val="5"/>
      <sheetId val="6"/>
      <sheetId val="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08C3BE6-8B52-467A-965A-EFB0ED2F4BF4}" action="delete"/>
  <rdn rId="0" localSheetId="5" customView="1" name="Z_008C3BE6_8B52_467A_965A_EFB0ED2F4BF4_.wvu.FilterData" hidden="1" oldHidden="1">
    <formula>'RESISTENZA MURATURA'!$B$1:$F$3</formula>
    <oldFormula>'RESISTENZA MURATURA'!$B$1:$F$3</oldFormula>
  </rdn>
  <rcv guid="{008C3BE6-8B52-467A-965A-EFB0ED2F4B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davidecicchini.it/" TargetMode="External"/><Relationship Id="rId1" Type="http://schemas.openxmlformats.org/officeDocument/2006/relationships/hyperlink" Target="http://www.davidecicchini.i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16"/>
  <sheetViews>
    <sheetView showGridLines="0" showRowColHeaders="0" tabSelected="1" workbookViewId="0">
      <selection activeCell="H15" sqref="H15:J15"/>
    </sheetView>
  </sheetViews>
  <sheetFormatPr defaultRowHeight="15" x14ac:dyDescent="0.25"/>
  <cols>
    <col min="1" max="1" width="3.28515625" customWidth="1"/>
  </cols>
  <sheetData>
    <row r="6" spans="2:11" ht="15.75" x14ac:dyDescent="0.25">
      <c r="B6" s="21" t="s">
        <v>98</v>
      </c>
    </row>
    <row r="7" spans="2:11" ht="15.75" x14ac:dyDescent="0.25">
      <c r="B7" s="21" t="s">
        <v>99</v>
      </c>
    </row>
    <row r="8" spans="2:11" s="3" customFormat="1" ht="15.75" x14ac:dyDescent="0.25">
      <c r="B8" s="21" t="s">
        <v>164</v>
      </c>
    </row>
    <row r="10" spans="2:11" x14ac:dyDescent="0.25">
      <c r="B10" s="148" t="s">
        <v>166</v>
      </c>
      <c r="C10" s="148"/>
      <c r="D10" s="148"/>
      <c r="E10" s="9"/>
      <c r="F10" s="9"/>
      <c r="G10" s="9"/>
      <c r="H10" s="9"/>
      <c r="I10" s="9"/>
      <c r="J10" s="9"/>
      <c r="K10" s="9"/>
    </row>
    <row r="11" spans="2:11" x14ac:dyDescent="0.25">
      <c r="B11" s="149">
        <v>44003</v>
      </c>
      <c r="C11" s="148"/>
      <c r="D11" s="148"/>
      <c r="G11" s="9"/>
      <c r="H11" s="9"/>
      <c r="I11" s="9"/>
      <c r="J11" s="9"/>
      <c r="K11" s="9"/>
    </row>
    <row r="12" spans="2:11" x14ac:dyDescent="0.25">
      <c r="B12" s="145" t="s">
        <v>96</v>
      </c>
      <c r="C12" s="145"/>
      <c r="D12" s="145"/>
      <c r="E12" s="9"/>
      <c r="F12" s="9"/>
      <c r="G12" s="9"/>
      <c r="H12" s="146" t="s">
        <v>97</v>
      </c>
      <c r="I12" s="146"/>
      <c r="J12" s="146"/>
    </row>
    <row r="13" spans="2:11" x14ac:dyDescent="0.25">
      <c r="B13" s="9"/>
      <c r="C13" s="9"/>
      <c r="D13" s="9"/>
      <c r="E13" s="9"/>
      <c r="F13" s="9"/>
      <c r="G13" s="9"/>
      <c r="H13" s="146" t="s">
        <v>165</v>
      </c>
      <c r="I13" s="146"/>
      <c r="J13" s="146"/>
    </row>
    <row r="14" spans="2:11" s="3" customFormat="1" x14ac:dyDescent="0.25">
      <c r="B14" s="9"/>
      <c r="C14" s="9"/>
      <c r="D14" s="9"/>
      <c r="E14" s="9"/>
      <c r="F14" s="9"/>
      <c r="G14" s="9"/>
      <c r="H14" s="140"/>
      <c r="I14" s="140"/>
      <c r="J14" s="140"/>
    </row>
    <row r="15" spans="2:11" x14ac:dyDescent="0.25">
      <c r="B15" s="3"/>
      <c r="C15" s="3"/>
      <c r="D15" s="3"/>
      <c r="E15" s="3"/>
      <c r="F15" s="3"/>
      <c r="G15" s="3"/>
      <c r="H15" s="147" t="s">
        <v>96</v>
      </c>
      <c r="I15" s="147"/>
      <c r="J15" s="147"/>
    </row>
    <row r="16" spans="2:11" x14ac:dyDescent="0.25">
      <c r="E16" s="3"/>
      <c r="F16" s="3"/>
      <c r="G16" s="3"/>
      <c r="H16" s="3"/>
      <c r="I16" s="3"/>
      <c r="J16" s="3"/>
      <c r="K16" s="3"/>
    </row>
  </sheetData>
  <sheetProtection algorithmName="SHA-512" hashValue="fcf4z6g/yq6D6WQfmLcX5aPEal5AdUi9bBuOOGJ5tEV0ePdFyBZ5v/72OFEZpuhgS1wHk3tcefJR1fGL4fLtwA==" saltValue="9E5Dvv/GxYw4b1Iylso3Fg==" spinCount="100000" sheet="1" selectLockedCells="1"/>
  <customSheetViews>
    <customSheetView guid="{008C3BE6-8B52-467A-965A-EFB0ED2F4BF4}" showGridLines="0" showRowCol="0">
      <selection activeCell="H15" sqref="H15:J15"/>
      <pageMargins left="0.7" right="0.7" top="0.75" bottom="0.75" header="0.3" footer="0.3"/>
    </customSheetView>
    <customSheetView guid="{DD657959-DBA4-44AA-BD36-35D76D92C4C8}" showGridLines="0" showRowCol="0">
      <selection activeCell="H13" sqref="H13:J13"/>
      <pageMargins left="0.7" right="0.7" top="0.75" bottom="0.75" header="0.3" footer="0.3"/>
    </customSheetView>
    <customSheetView guid="{4F428F85-A986-464A-BD5B-D43EDDD1A16A}" showGridLines="0" showRowCol="0">
      <selection activeCell="H15" sqref="H15:J15"/>
      <pageMargins left="0.7" right="0.7" top="0.75" bottom="0.75" header="0.3" footer="0.3"/>
    </customSheetView>
    <customSheetView guid="{F017CC66-3157-4857-B035-5B775CD5B9B9}" showGridLines="0" showRowCol="0">
      <selection activeCell="H15" sqref="H15:J15"/>
      <pageMargins left="0.7" right="0.7" top="0.75" bottom="0.75" header="0.3" footer="0.3"/>
    </customSheetView>
  </customSheetViews>
  <mergeCells count="6">
    <mergeCell ref="B12:D12"/>
    <mergeCell ref="H12:J12"/>
    <mergeCell ref="H15:J15"/>
    <mergeCell ref="B10:D10"/>
    <mergeCell ref="B11:D11"/>
    <mergeCell ref="H13:J13"/>
  </mergeCells>
  <hyperlinks>
    <hyperlink ref="H15" r:id="rId1"/>
    <hyperlink ref="B12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178"/>
  <sheetViews>
    <sheetView showGridLines="0" showRowColHeaders="0" workbookViewId="0">
      <selection activeCell="B12" sqref="B12:F13"/>
    </sheetView>
  </sheetViews>
  <sheetFormatPr defaultRowHeight="15" x14ac:dyDescent="0.25"/>
  <cols>
    <col min="1" max="1" width="2" customWidth="1"/>
    <col min="2" max="2" width="10.140625" customWidth="1"/>
    <col min="3" max="3" width="15.7109375" customWidth="1"/>
    <col min="4" max="4" width="33.42578125" customWidth="1"/>
    <col min="6" max="6" width="14.85546875" customWidth="1"/>
  </cols>
  <sheetData>
    <row r="1" spans="2:36" x14ac:dyDescent="0.25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2:36" s="3" customFormat="1" ht="18.75" x14ac:dyDescent="0.25">
      <c r="B2" s="161" t="s">
        <v>52</v>
      </c>
      <c r="C2" s="161"/>
      <c r="D2" s="161"/>
      <c r="E2" s="161"/>
      <c r="F2" s="161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2:36" s="3" customFormat="1" x14ac:dyDescent="0.2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2:36" x14ac:dyDescent="0.25">
      <c r="B4" s="32" t="s">
        <v>53</v>
      </c>
      <c r="C4" s="25"/>
      <c r="D4" s="26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</row>
    <row r="5" spans="2:36" ht="15.75" thickBot="1" x14ac:dyDescent="0.3">
      <c r="B5" s="27"/>
      <c r="C5" s="27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</row>
    <row r="6" spans="2:36" ht="16.5" thickTop="1" thickBot="1" x14ac:dyDescent="0.3">
      <c r="B6" s="24" t="s">
        <v>35</v>
      </c>
      <c r="C6" s="24"/>
      <c r="D6" s="24"/>
      <c r="E6" s="28" t="s">
        <v>9</v>
      </c>
      <c r="F6" s="18">
        <v>4</v>
      </c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</row>
    <row r="7" spans="2:36" ht="16.5" thickTop="1" thickBot="1" x14ac:dyDescent="0.3">
      <c r="B7" s="24" t="s">
        <v>36</v>
      </c>
      <c r="C7" s="24"/>
      <c r="D7" s="24"/>
      <c r="E7" s="28" t="s">
        <v>10</v>
      </c>
      <c r="F7" s="18">
        <v>0.6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</row>
    <row r="8" spans="2:36" ht="16.5" thickTop="1" thickBot="1" x14ac:dyDescent="0.3">
      <c r="B8" s="24" t="s">
        <v>37</v>
      </c>
      <c r="C8" s="24"/>
      <c r="D8" s="24"/>
      <c r="E8" s="28" t="s">
        <v>30</v>
      </c>
      <c r="F8" s="18">
        <v>2.9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spans="2:36" s="3" customFormat="1" ht="15.75" thickTop="1" x14ac:dyDescent="0.25">
      <c r="B9" s="24"/>
      <c r="C9" s="24"/>
      <c r="D9" s="24"/>
      <c r="E9" s="28"/>
      <c r="F9" s="29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</row>
    <row r="10" spans="2:36" s="3" customFormat="1" x14ac:dyDescent="0.25">
      <c r="B10" s="32" t="s">
        <v>54</v>
      </c>
      <c r="C10" s="24"/>
      <c r="D10" s="24"/>
      <c r="E10" s="28"/>
      <c r="F10" s="30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</row>
    <row r="11" spans="2:36" ht="13.5" customHeight="1" thickBot="1" x14ac:dyDescent="0.3">
      <c r="B11" s="24"/>
      <c r="C11" s="24"/>
      <c r="D11" s="24"/>
      <c r="E11" s="28"/>
      <c r="F11" s="31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</row>
    <row r="12" spans="2:36" s="3" customFormat="1" ht="15.75" thickTop="1" x14ac:dyDescent="0.25">
      <c r="B12" s="155" t="s">
        <v>27</v>
      </c>
      <c r="C12" s="156"/>
      <c r="D12" s="156"/>
      <c r="E12" s="156"/>
      <c r="F12" s="157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</row>
    <row r="13" spans="2:36" s="3" customFormat="1" ht="15.75" thickBot="1" x14ac:dyDescent="0.3">
      <c r="B13" s="158"/>
      <c r="C13" s="159"/>
      <c r="D13" s="159"/>
      <c r="E13" s="159"/>
      <c r="F13" s="160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spans="2:36" ht="16.5" thickTop="1" thickBot="1" x14ac:dyDescent="0.3"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</row>
    <row r="15" spans="2:36" ht="16.5" thickTop="1" thickBot="1" x14ac:dyDescent="0.3">
      <c r="B15" s="24" t="s">
        <v>31</v>
      </c>
      <c r="C15" s="32"/>
      <c r="D15" s="24"/>
      <c r="E15" s="33" t="s">
        <v>32</v>
      </c>
      <c r="F15" s="10" t="s">
        <v>38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</row>
    <row r="16" spans="2:36" ht="15.75" thickTop="1" x14ac:dyDescent="0.25">
      <c r="B16" s="24" t="s">
        <v>34</v>
      </c>
      <c r="C16" s="32"/>
      <c r="D16" s="24"/>
      <c r="E16" s="33" t="s">
        <v>0</v>
      </c>
      <c r="F16" s="34">
        <f>VLOOKUP(DATI!F15,'FOGLIO DEPOSITO'!B39:C41,2,FALSE)</f>
        <v>1.35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</row>
    <row r="17" spans="2:36" s="3" customFormat="1" ht="7.5" customHeight="1" x14ac:dyDescent="0.25">
      <c r="B17" s="24"/>
      <c r="C17" s="32"/>
      <c r="D17" s="24"/>
      <c r="E17" s="33"/>
      <c r="F17" s="122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</row>
    <row r="18" spans="2:36" s="3" customFormat="1" x14ac:dyDescent="0.25">
      <c r="B18" s="24" t="s">
        <v>145</v>
      </c>
      <c r="C18" s="32"/>
      <c r="D18" s="24"/>
      <c r="E18" s="33"/>
      <c r="F18" s="122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</row>
    <row r="19" spans="2:36" s="3" customFormat="1" x14ac:dyDescent="0.25">
      <c r="B19" s="24" t="s">
        <v>146</v>
      </c>
      <c r="C19" s="32"/>
      <c r="D19" s="24"/>
      <c r="E19" s="33"/>
      <c r="F19" s="1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</row>
    <row r="20" spans="2:36" ht="15.75" thickBot="1" x14ac:dyDescent="0.3"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</row>
    <row r="21" spans="2:36" ht="16.5" customHeight="1" thickTop="1" thickBot="1" x14ac:dyDescent="0.3">
      <c r="B21" s="152" t="s">
        <v>143</v>
      </c>
      <c r="C21" s="35" t="s">
        <v>150</v>
      </c>
      <c r="D21" s="24"/>
      <c r="F21" s="10" t="s">
        <v>44</v>
      </c>
      <c r="G21" s="24"/>
      <c r="H21" s="153" t="str">
        <f>IF(F50="si","ATTENZIONE COEFFICIENTI CORRETTIVI INSERITI MANUALMENTE! LA SELEZIONE IN QUESTO CASO NON PRODUCE NESSUN CAMBIAMENTO! SI CONSIDERANO SOLO I VALORI INSERITI DA UTENTE","")</f>
        <v/>
      </c>
      <c r="I21" s="153"/>
      <c r="J21" s="153"/>
      <c r="K21" s="153"/>
      <c r="L21" s="24"/>
      <c r="M21" s="24"/>
      <c r="N21" s="24"/>
      <c r="O21" s="33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</row>
    <row r="22" spans="2:36" ht="16.5" customHeight="1" thickTop="1" thickBot="1" x14ac:dyDescent="0.3">
      <c r="B22" s="152"/>
      <c r="C22" s="24"/>
      <c r="D22" s="24"/>
      <c r="F22" s="24"/>
      <c r="G22" s="24"/>
      <c r="H22" s="153"/>
      <c r="I22" s="153"/>
      <c r="J22" s="153"/>
      <c r="K22" s="153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</row>
    <row r="23" spans="2:36" ht="16.5" customHeight="1" thickTop="1" thickBot="1" x14ac:dyDescent="0.3">
      <c r="B23" s="152"/>
      <c r="C23" s="35" t="s">
        <v>41</v>
      </c>
      <c r="D23" s="24"/>
      <c r="F23" s="10" t="s">
        <v>44</v>
      </c>
      <c r="G23" s="24"/>
      <c r="H23" s="153"/>
      <c r="I23" s="153"/>
      <c r="J23" s="153"/>
      <c r="K23" s="153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</row>
    <row r="24" spans="2:36" ht="16.5" customHeight="1" thickTop="1" thickBot="1" x14ac:dyDescent="0.3">
      <c r="B24" s="152"/>
      <c r="C24" s="24"/>
      <c r="D24" s="24"/>
      <c r="F24" s="24"/>
      <c r="G24" s="24"/>
      <c r="H24" s="153"/>
      <c r="I24" s="153"/>
      <c r="J24" s="153"/>
      <c r="K24" s="153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</row>
    <row r="25" spans="2:36" ht="16.5" customHeight="1" thickTop="1" thickBot="1" x14ac:dyDescent="0.3">
      <c r="B25" s="152"/>
      <c r="C25" s="35" t="s">
        <v>40</v>
      </c>
      <c r="D25" s="24"/>
      <c r="F25" s="10" t="s">
        <v>44</v>
      </c>
      <c r="G25" s="24"/>
      <c r="H25" s="153"/>
      <c r="I25" s="153"/>
      <c r="J25" s="153"/>
      <c r="K25" s="153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</row>
    <row r="26" spans="2:36" ht="16.5" customHeight="1" thickTop="1" thickBot="1" x14ac:dyDescent="0.3">
      <c r="B26" s="24"/>
      <c r="C26" s="24"/>
      <c r="F26" s="24"/>
      <c r="G26" s="24"/>
      <c r="H26" s="153"/>
      <c r="I26" s="153"/>
      <c r="J26" s="153"/>
      <c r="K26" s="153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</row>
    <row r="27" spans="2:36" ht="16.5" customHeight="1" thickTop="1" thickBot="1" x14ac:dyDescent="0.3">
      <c r="B27" s="152" t="s">
        <v>144</v>
      </c>
      <c r="C27" s="24" t="s">
        <v>42</v>
      </c>
      <c r="F27" s="10" t="s">
        <v>44</v>
      </c>
      <c r="H27" s="153"/>
      <c r="I27" s="153"/>
      <c r="J27" s="153"/>
      <c r="K27" s="153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</row>
    <row r="28" spans="2:36" ht="16.5" customHeight="1" thickTop="1" thickBot="1" x14ac:dyDescent="0.3">
      <c r="B28" s="152"/>
      <c r="C28" s="24"/>
      <c r="F28" s="24"/>
      <c r="H28" s="153"/>
      <c r="I28" s="153"/>
      <c r="J28" s="153"/>
      <c r="K28" s="153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</row>
    <row r="29" spans="2:36" ht="16.5" customHeight="1" thickTop="1" thickBot="1" x14ac:dyDescent="0.3">
      <c r="B29" s="152"/>
      <c r="C29" s="24" t="s">
        <v>141</v>
      </c>
      <c r="D29" s="3"/>
      <c r="E29" s="3"/>
      <c r="F29" s="10" t="s">
        <v>44</v>
      </c>
      <c r="H29" s="154" t="str">
        <f>IF(SUM('FOGLIO DEPOSITO'!O82:O88)&gt;=3,"Condizione non ammessa da circ. n.7 del 21 gen. 2019; non si possono applicare più di due interventi migliorativi! §C8.5.3.1","")</f>
        <v/>
      </c>
      <c r="I29" s="154"/>
      <c r="J29" s="154"/>
      <c r="K29" s="15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</row>
    <row r="30" spans="2:36" ht="16.5" customHeight="1" thickTop="1" thickBot="1" x14ac:dyDescent="0.3">
      <c r="B30" s="152"/>
      <c r="H30" s="154"/>
      <c r="I30" s="154"/>
      <c r="J30" s="154"/>
      <c r="K30" s="15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</row>
    <row r="31" spans="2:36" ht="16.5" customHeight="1" thickTop="1" thickBot="1" x14ac:dyDescent="0.3">
      <c r="B31" s="152"/>
      <c r="C31" s="35" t="s">
        <v>142</v>
      </c>
      <c r="F31" s="10" t="s">
        <v>44</v>
      </c>
      <c r="H31" s="154"/>
      <c r="I31" s="154"/>
      <c r="J31" s="154"/>
      <c r="K31" s="15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</row>
    <row r="32" spans="2:36" s="3" customFormat="1" ht="16.5" customHeight="1" thickTop="1" thickBot="1" x14ac:dyDescent="0.3">
      <c r="B32" s="152"/>
      <c r="D32" s="24"/>
      <c r="F32" s="144"/>
      <c r="H32" s="154"/>
      <c r="I32" s="154"/>
      <c r="J32" s="154"/>
      <c r="K32" s="15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</row>
    <row r="33" spans="2:36" s="3" customFormat="1" ht="16.5" customHeight="1" thickTop="1" thickBot="1" x14ac:dyDescent="0.3">
      <c r="B33" s="152"/>
      <c r="C33" s="35" t="s">
        <v>153</v>
      </c>
      <c r="F33" s="10" t="s">
        <v>44</v>
      </c>
      <c r="H33" s="154"/>
      <c r="I33" s="154"/>
      <c r="J33" s="154"/>
      <c r="K33" s="15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</row>
    <row r="34" spans="2:36" ht="16.5" customHeight="1" thickTop="1" thickBot="1" x14ac:dyDescent="0.3">
      <c r="G34" s="24"/>
      <c r="H34" s="154"/>
      <c r="I34" s="154"/>
      <c r="J34" s="154"/>
      <c r="K34" s="15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</row>
    <row r="35" spans="2:36" s="3" customFormat="1" ht="16.5" customHeight="1" thickTop="1" thickBot="1" x14ac:dyDescent="0.3">
      <c r="B35" s="24" t="s">
        <v>130</v>
      </c>
      <c r="C35" s="24"/>
      <c r="D35" s="36"/>
      <c r="F35" s="10" t="s">
        <v>123</v>
      </c>
      <c r="G35" s="24"/>
      <c r="H35" s="154"/>
      <c r="I35" s="154"/>
      <c r="J35" s="154"/>
      <c r="K35" s="15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</row>
    <row r="36" spans="2:36" s="3" customFormat="1" ht="15.75" thickTop="1" x14ac:dyDescent="0.25">
      <c r="B36" s="24"/>
      <c r="C36" s="24"/>
      <c r="D36" s="36"/>
      <c r="E36" s="37"/>
      <c r="F36" s="144"/>
      <c r="G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</row>
    <row r="37" spans="2:36" x14ac:dyDescent="0.25">
      <c r="B37" s="32" t="s">
        <v>55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</row>
    <row r="38" spans="2:36" ht="15.75" thickBot="1" x14ac:dyDescent="0.3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</row>
    <row r="39" spans="2:36" ht="16.5" thickTop="1" thickBot="1" x14ac:dyDescent="0.3">
      <c r="B39" s="24" t="s">
        <v>56</v>
      </c>
      <c r="C39" s="24"/>
      <c r="D39" s="24"/>
      <c r="E39" s="33" t="s">
        <v>11</v>
      </c>
      <c r="F39" s="22">
        <v>250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</row>
    <row r="40" spans="2:36" ht="16.5" thickTop="1" thickBot="1" x14ac:dyDescent="0.3">
      <c r="B40" s="24" t="s">
        <v>57</v>
      </c>
      <c r="C40" s="24"/>
      <c r="D40" s="24"/>
      <c r="E40" s="33" t="s">
        <v>15</v>
      </c>
      <c r="F40" s="22">
        <v>50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</row>
    <row r="41" spans="2:36" ht="16.5" thickTop="1" thickBot="1" x14ac:dyDescent="0.3">
      <c r="B41" s="24" t="s">
        <v>58</v>
      </c>
      <c r="C41" s="24"/>
      <c r="D41" s="24"/>
      <c r="E41" s="33" t="s">
        <v>16</v>
      </c>
      <c r="F41" s="23">
        <v>121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</row>
    <row r="42" spans="2:36" ht="16.5" thickTop="1" thickBot="1" x14ac:dyDescent="0.3">
      <c r="B42" s="24" t="s">
        <v>59</v>
      </c>
      <c r="C42" s="24"/>
      <c r="D42" s="24"/>
      <c r="E42" s="33" t="s">
        <v>17</v>
      </c>
      <c r="F42" s="23">
        <v>11.09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</row>
    <row r="43" spans="2:36" ht="16.5" thickTop="1" thickBot="1" x14ac:dyDescent="0.3"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</row>
    <row r="44" spans="2:36" ht="16.5" thickTop="1" thickBot="1" x14ac:dyDescent="0.3">
      <c r="B44" s="38" t="s">
        <v>92</v>
      </c>
      <c r="C44" s="24"/>
      <c r="D44" s="24"/>
      <c r="E44" s="24"/>
      <c r="F44" s="10" t="s">
        <v>47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</row>
    <row r="45" spans="2:36" ht="16.5" thickTop="1" thickBot="1" x14ac:dyDescent="0.3">
      <c r="B45" s="24" t="s">
        <v>128</v>
      </c>
      <c r="C45" s="24"/>
      <c r="D45" s="24"/>
      <c r="E45" s="24"/>
      <c r="F45" s="100">
        <f>VLOOKUP(F44,'FOGLIO DEPOSITO'!G29:H31,2,FALSE)</f>
        <v>2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</row>
    <row r="46" spans="2:36" ht="16.5" thickTop="1" thickBot="1" x14ac:dyDescent="0.3">
      <c r="B46" s="24" t="s">
        <v>133</v>
      </c>
      <c r="C46" s="24"/>
      <c r="D46" s="24"/>
      <c r="E46" s="24"/>
      <c r="F46" s="10">
        <v>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</row>
    <row r="47" spans="2:36" s="3" customFormat="1" ht="15.75" thickTop="1" x14ac:dyDescent="0.25"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</row>
    <row r="48" spans="2:36" x14ac:dyDescent="0.25">
      <c r="B48" s="32" t="s">
        <v>163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</row>
    <row r="49" spans="2:36" ht="15.75" thickBot="1" x14ac:dyDescent="0.3">
      <c r="B49" s="24"/>
      <c r="C49" s="24"/>
      <c r="D49" s="24"/>
      <c r="E49" s="24"/>
      <c r="F49" s="24"/>
      <c r="G49" s="24"/>
      <c r="H49" s="24"/>
      <c r="I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</row>
    <row r="50" spans="2:36" ht="16.5" thickTop="1" thickBot="1" x14ac:dyDescent="0.3">
      <c r="B50" s="24" t="s">
        <v>127</v>
      </c>
      <c r="C50" s="24"/>
      <c r="D50" s="36"/>
      <c r="E50" s="37"/>
      <c r="F50" s="10" t="s">
        <v>44</v>
      </c>
      <c r="G50" s="24"/>
      <c r="H50" s="24"/>
      <c r="I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</row>
    <row r="51" spans="2:36" ht="15.75" thickTop="1" x14ac:dyDescent="0.25">
      <c r="B51" s="24" t="s">
        <v>131</v>
      </c>
      <c r="C51" s="24"/>
      <c r="D51" s="24"/>
      <c r="E51" s="24"/>
      <c r="F51" s="33"/>
      <c r="G51" s="24"/>
      <c r="H51" s="24"/>
      <c r="I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</row>
    <row r="52" spans="2:36" ht="15.75" customHeight="1" x14ac:dyDescent="0.25">
      <c r="B52" s="72"/>
      <c r="C52" s="72"/>
      <c r="F52" s="150" t="s">
        <v>19</v>
      </c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</row>
    <row r="53" spans="2:36" ht="15.75" customHeight="1" thickBot="1" x14ac:dyDescent="0.3">
      <c r="B53" s="72"/>
      <c r="C53" s="72"/>
      <c r="F53" s="151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</row>
    <row r="54" spans="2:36" ht="16.5" thickTop="1" thickBot="1" x14ac:dyDescent="0.3">
      <c r="C54" s="152" t="s">
        <v>143</v>
      </c>
      <c r="D54" s="111" t="s">
        <v>24</v>
      </c>
      <c r="E54" s="73"/>
      <c r="F54" s="10">
        <v>1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</row>
    <row r="55" spans="2:36" ht="16.5" thickTop="1" thickBot="1" x14ac:dyDescent="0.3">
      <c r="C55" s="152"/>
      <c r="D55" s="111" t="s">
        <v>41</v>
      </c>
      <c r="E55" s="73"/>
      <c r="F55" s="10">
        <v>1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</row>
    <row r="56" spans="2:36" ht="16.5" thickTop="1" thickBot="1" x14ac:dyDescent="0.3">
      <c r="C56" s="152"/>
      <c r="D56" s="111" t="s">
        <v>40</v>
      </c>
      <c r="E56" s="73"/>
      <c r="F56" s="10">
        <v>1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</row>
    <row r="57" spans="2:36" ht="16.5" thickTop="1" thickBot="1" x14ac:dyDescent="0.3">
      <c r="C57" s="113"/>
      <c r="F57" s="1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</row>
    <row r="58" spans="2:36" ht="16.5" customHeight="1" thickTop="1" thickBot="1" x14ac:dyDescent="0.3">
      <c r="C58" s="152" t="s">
        <v>144</v>
      </c>
      <c r="D58" s="71" t="s">
        <v>42</v>
      </c>
      <c r="E58" s="74"/>
      <c r="F58" s="10">
        <v>1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</row>
    <row r="59" spans="2:36" ht="16.5" thickTop="1" thickBot="1" x14ac:dyDescent="0.3">
      <c r="C59" s="152"/>
      <c r="D59" s="71" t="s">
        <v>82</v>
      </c>
      <c r="E59" s="74"/>
      <c r="F59" s="10">
        <v>1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</row>
    <row r="60" spans="2:36" ht="31.5" thickTop="1" thickBot="1" x14ac:dyDescent="0.3">
      <c r="C60" s="152"/>
      <c r="D60" s="112" t="s">
        <v>142</v>
      </c>
      <c r="E60" s="73"/>
      <c r="F60" s="10">
        <v>1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</row>
    <row r="61" spans="2:36" s="3" customFormat="1" ht="31.5" thickTop="1" thickBot="1" x14ac:dyDescent="0.3">
      <c r="C61" s="152"/>
      <c r="D61" s="110" t="s">
        <v>153</v>
      </c>
      <c r="E61" s="73"/>
      <c r="F61" s="10">
        <v>1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</row>
    <row r="62" spans="2:36" ht="15.75" thickTop="1" x14ac:dyDescent="0.25">
      <c r="B62" s="24"/>
      <c r="C62" s="24"/>
      <c r="D62" s="24"/>
      <c r="E62" s="24"/>
      <c r="F62" s="33"/>
      <c r="G62" s="24"/>
      <c r="H62" s="24"/>
      <c r="I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2:36" x14ac:dyDescent="0.25">
      <c r="B63" s="24"/>
      <c r="C63" s="24"/>
      <c r="D63" s="24"/>
      <c r="E63" s="24"/>
      <c r="F63" s="33"/>
      <c r="G63" s="24"/>
      <c r="H63" s="24"/>
      <c r="I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</row>
    <row r="64" spans="2:36" x14ac:dyDescent="0.25">
      <c r="B64" s="24"/>
      <c r="C64" s="24"/>
      <c r="F64" s="150" t="s">
        <v>20</v>
      </c>
      <c r="I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</row>
    <row r="65" spans="2:36" ht="15.75" thickBot="1" x14ac:dyDescent="0.3">
      <c r="B65" s="24"/>
      <c r="C65" s="24"/>
      <c r="F65" s="151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</row>
    <row r="66" spans="2:36" ht="16.5" thickTop="1" thickBot="1" x14ac:dyDescent="0.3">
      <c r="B66" s="24"/>
      <c r="C66" s="152" t="s">
        <v>143</v>
      </c>
      <c r="D66" s="111" t="s">
        <v>24</v>
      </c>
      <c r="F66" s="10">
        <v>1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</row>
    <row r="67" spans="2:36" ht="16.5" thickTop="1" thickBot="1" x14ac:dyDescent="0.3">
      <c r="B67" s="24"/>
      <c r="C67" s="152"/>
      <c r="D67" s="111" t="s">
        <v>41</v>
      </c>
      <c r="F67" s="10">
        <v>1</v>
      </c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</row>
    <row r="68" spans="2:36" ht="16.5" thickTop="1" thickBot="1" x14ac:dyDescent="0.3">
      <c r="B68" s="24"/>
      <c r="C68" s="152"/>
      <c r="D68" s="111" t="s">
        <v>40</v>
      </c>
      <c r="F68" s="10">
        <v>1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</row>
    <row r="69" spans="2:36" ht="16.5" thickTop="1" thickBot="1" x14ac:dyDescent="0.3">
      <c r="B69" s="24"/>
      <c r="C69" s="113"/>
      <c r="D69" s="3"/>
      <c r="F69" s="1"/>
      <c r="I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</row>
    <row r="70" spans="2:36" ht="16.5" customHeight="1" thickTop="1" thickBot="1" x14ac:dyDescent="0.3">
      <c r="B70" s="24"/>
      <c r="C70" s="152" t="s">
        <v>144</v>
      </c>
      <c r="D70" s="71" t="s">
        <v>42</v>
      </c>
      <c r="F70" s="10">
        <v>1</v>
      </c>
      <c r="I70" s="24"/>
      <c r="J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</row>
    <row r="71" spans="2:36" ht="16.5" thickTop="1" thickBot="1" x14ac:dyDescent="0.3">
      <c r="B71" s="24"/>
      <c r="C71" s="152"/>
      <c r="D71" s="71" t="s">
        <v>82</v>
      </c>
      <c r="F71" s="10">
        <v>1</v>
      </c>
      <c r="I71" s="24"/>
      <c r="J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</row>
    <row r="72" spans="2:36" ht="31.5" thickTop="1" thickBot="1" x14ac:dyDescent="0.3">
      <c r="B72" s="24"/>
      <c r="C72" s="152"/>
      <c r="D72" s="112" t="s">
        <v>142</v>
      </c>
      <c r="F72" s="10">
        <v>1</v>
      </c>
      <c r="I72" s="24"/>
      <c r="J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</row>
    <row r="73" spans="2:36" s="3" customFormat="1" ht="31.5" thickTop="1" thickBot="1" x14ac:dyDescent="0.3">
      <c r="B73" s="24"/>
      <c r="C73" s="152"/>
      <c r="D73" s="110" t="s">
        <v>153</v>
      </c>
      <c r="E73"/>
      <c r="F73" s="10">
        <v>1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</row>
    <row r="74" spans="2:36" ht="15.75" thickTop="1" x14ac:dyDescent="0.25">
      <c r="B74" s="24"/>
      <c r="C74" s="24"/>
      <c r="F74" s="1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</row>
    <row r="75" spans="2:36" s="3" customFormat="1" x14ac:dyDescent="0.25">
      <c r="B75" s="24"/>
      <c r="C75" s="24"/>
      <c r="F75" s="1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</row>
    <row r="76" spans="2:36" s="3" customFormat="1" x14ac:dyDescent="0.25">
      <c r="B76" s="24"/>
      <c r="C76" s="24"/>
      <c r="F76" s="150" t="s">
        <v>155</v>
      </c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</row>
    <row r="77" spans="2:36" s="3" customFormat="1" ht="15.75" thickBot="1" x14ac:dyDescent="0.3">
      <c r="B77" s="24"/>
      <c r="C77" s="24"/>
      <c r="F77" s="151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</row>
    <row r="78" spans="2:36" s="3" customFormat="1" ht="16.5" thickTop="1" thickBot="1" x14ac:dyDescent="0.3">
      <c r="B78" s="24"/>
      <c r="C78" s="152" t="s">
        <v>143</v>
      </c>
      <c r="D78" s="111" t="s">
        <v>24</v>
      </c>
      <c r="F78" s="10">
        <v>1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</row>
    <row r="79" spans="2:36" s="3" customFormat="1" ht="16.5" thickTop="1" thickBot="1" x14ac:dyDescent="0.3">
      <c r="B79" s="24"/>
      <c r="C79" s="152"/>
      <c r="D79" s="111" t="s">
        <v>41</v>
      </c>
      <c r="F79" s="10">
        <v>1</v>
      </c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</row>
    <row r="80" spans="2:36" s="3" customFormat="1" ht="16.5" thickTop="1" thickBot="1" x14ac:dyDescent="0.3">
      <c r="B80" s="24"/>
      <c r="C80" s="152"/>
      <c r="D80" s="111" t="s">
        <v>40</v>
      </c>
      <c r="F80" s="10">
        <v>1</v>
      </c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</row>
    <row r="81" spans="2:36" s="3" customFormat="1" ht="16.5" thickTop="1" thickBot="1" x14ac:dyDescent="0.3">
      <c r="B81" s="24"/>
      <c r="C81" s="113"/>
      <c r="F81" s="1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</row>
    <row r="82" spans="2:36" s="3" customFormat="1" ht="16.5" thickTop="1" thickBot="1" x14ac:dyDescent="0.3">
      <c r="B82" s="24"/>
      <c r="C82" s="152" t="s">
        <v>144</v>
      </c>
      <c r="D82" s="71" t="s">
        <v>42</v>
      </c>
      <c r="F82" s="10">
        <v>1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</row>
    <row r="83" spans="2:36" s="3" customFormat="1" ht="16.5" thickTop="1" thickBot="1" x14ac:dyDescent="0.3">
      <c r="B83" s="24"/>
      <c r="C83" s="152"/>
      <c r="D83" s="71" t="s">
        <v>82</v>
      </c>
      <c r="F83" s="10">
        <v>1</v>
      </c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</row>
    <row r="84" spans="2:36" s="3" customFormat="1" ht="31.5" thickTop="1" thickBot="1" x14ac:dyDescent="0.3">
      <c r="B84" s="24"/>
      <c r="C84" s="152"/>
      <c r="D84" s="112" t="s">
        <v>142</v>
      </c>
      <c r="F84" s="10">
        <v>1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</row>
    <row r="85" spans="2:36" s="3" customFormat="1" ht="31.5" thickTop="1" thickBot="1" x14ac:dyDescent="0.3">
      <c r="B85" s="24"/>
      <c r="C85" s="152"/>
      <c r="D85" s="110" t="s">
        <v>153</v>
      </c>
      <c r="F85" s="10">
        <v>1</v>
      </c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</row>
    <row r="86" spans="2:36" s="3" customFormat="1" ht="15.75" thickTop="1" x14ac:dyDescent="0.25">
      <c r="B86" s="24"/>
      <c r="C86" s="114"/>
      <c r="D86" s="130"/>
      <c r="F86" s="70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</row>
    <row r="87" spans="2:36" x14ac:dyDescent="0.25">
      <c r="B87" s="24"/>
      <c r="C87" s="24"/>
      <c r="D87" s="24"/>
      <c r="E87" s="24"/>
      <c r="F87" s="33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</row>
    <row r="88" spans="2:36" x14ac:dyDescent="0.25">
      <c r="B88" s="24"/>
      <c r="C88" s="24"/>
      <c r="D88" s="24"/>
      <c r="E88" s="24"/>
      <c r="F88" s="150" t="s">
        <v>21</v>
      </c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</row>
    <row r="89" spans="2:36" ht="15.75" thickBot="1" x14ac:dyDescent="0.3">
      <c r="B89" s="24"/>
      <c r="C89" s="24"/>
      <c r="D89" s="24"/>
      <c r="E89" s="24"/>
      <c r="F89" s="151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</row>
    <row r="90" spans="2:36" ht="16.5" thickTop="1" thickBot="1" x14ac:dyDescent="0.3">
      <c r="B90" s="24"/>
      <c r="C90" s="152" t="s">
        <v>143</v>
      </c>
      <c r="D90" s="111" t="s">
        <v>24</v>
      </c>
      <c r="E90" s="24"/>
      <c r="F90" s="10">
        <v>1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</row>
    <row r="91" spans="2:36" ht="16.5" thickTop="1" thickBot="1" x14ac:dyDescent="0.3">
      <c r="B91" s="24"/>
      <c r="C91" s="152"/>
      <c r="D91" s="111" t="s">
        <v>41</v>
      </c>
      <c r="E91" s="24"/>
      <c r="F91" s="10">
        <v>1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</row>
    <row r="92" spans="2:36" ht="16.5" thickTop="1" thickBot="1" x14ac:dyDescent="0.3">
      <c r="B92" s="24"/>
      <c r="C92" s="152"/>
      <c r="D92" s="111" t="s">
        <v>40</v>
      </c>
      <c r="E92" s="24"/>
      <c r="F92" s="10">
        <v>1</v>
      </c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</row>
    <row r="93" spans="2:36" ht="16.5" thickTop="1" thickBot="1" x14ac:dyDescent="0.3">
      <c r="B93" s="24"/>
      <c r="C93" s="113"/>
      <c r="D93" s="3"/>
      <c r="F93" s="1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</row>
    <row r="94" spans="2:36" ht="16.5" customHeight="1" thickTop="1" thickBot="1" x14ac:dyDescent="0.3">
      <c r="B94" s="24"/>
      <c r="C94" s="152" t="s">
        <v>144</v>
      </c>
      <c r="D94" s="71" t="s">
        <v>42</v>
      </c>
      <c r="E94" s="24"/>
      <c r="F94" s="10">
        <v>1</v>
      </c>
      <c r="G94" s="24"/>
      <c r="H94" s="24"/>
      <c r="I94" s="24"/>
      <c r="J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</row>
    <row r="95" spans="2:36" ht="16.5" thickTop="1" thickBot="1" x14ac:dyDescent="0.3">
      <c r="B95" s="24"/>
      <c r="C95" s="152"/>
      <c r="D95" s="71" t="s">
        <v>82</v>
      </c>
      <c r="E95" s="24"/>
      <c r="F95" s="10">
        <v>1</v>
      </c>
      <c r="G95" s="24"/>
      <c r="H95" s="24"/>
      <c r="I95" s="24"/>
      <c r="J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</row>
    <row r="96" spans="2:36" ht="31.5" thickTop="1" thickBot="1" x14ac:dyDescent="0.3">
      <c r="B96" s="24"/>
      <c r="C96" s="152"/>
      <c r="D96" s="112" t="s">
        <v>142</v>
      </c>
      <c r="E96" s="24"/>
      <c r="F96" s="10">
        <v>1</v>
      </c>
      <c r="G96" s="24"/>
      <c r="H96" s="24"/>
      <c r="I96" s="24"/>
      <c r="J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</row>
    <row r="97" spans="2:36" s="3" customFormat="1" ht="31.5" thickTop="1" thickBot="1" x14ac:dyDescent="0.3">
      <c r="B97" s="24"/>
      <c r="C97" s="152"/>
      <c r="D97" s="110" t="s">
        <v>153</v>
      </c>
      <c r="E97" s="24"/>
      <c r="F97" s="10">
        <v>1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</row>
    <row r="98" spans="2:36" ht="15.75" thickTop="1" x14ac:dyDescent="0.25">
      <c r="B98" s="24"/>
      <c r="C98" s="24"/>
      <c r="F98" s="1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</row>
    <row r="99" spans="2:36" x14ac:dyDescent="0.25">
      <c r="B99" s="24"/>
      <c r="C99" s="24"/>
      <c r="D99" s="24"/>
      <c r="E99" s="24"/>
      <c r="F99" s="33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</row>
    <row r="100" spans="2:36" x14ac:dyDescent="0.25">
      <c r="B100" s="24"/>
      <c r="C100" s="24"/>
      <c r="D100" s="24"/>
      <c r="E100" s="24"/>
      <c r="F100" s="150" t="s">
        <v>22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</row>
    <row r="101" spans="2:36" ht="15.75" thickBot="1" x14ac:dyDescent="0.3">
      <c r="B101" s="24"/>
      <c r="C101" s="24"/>
      <c r="D101" s="24"/>
      <c r="E101" s="24"/>
      <c r="F101" s="151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</row>
    <row r="102" spans="2:36" ht="16.5" thickTop="1" thickBot="1" x14ac:dyDescent="0.3">
      <c r="B102" s="24"/>
      <c r="C102" s="152" t="s">
        <v>143</v>
      </c>
      <c r="D102" s="111" t="s">
        <v>24</v>
      </c>
      <c r="E102" s="24"/>
      <c r="F102" s="10">
        <v>1</v>
      </c>
      <c r="G102" s="24"/>
      <c r="H102" s="24"/>
      <c r="I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</row>
    <row r="103" spans="2:36" ht="16.5" thickTop="1" thickBot="1" x14ac:dyDescent="0.3">
      <c r="B103" s="24"/>
      <c r="C103" s="152"/>
      <c r="D103" s="111" t="s">
        <v>41</v>
      </c>
      <c r="E103" s="24"/>
      <c r="F103" s="10">
        <v>1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</row>
    <row r="104" spans="2:36" ht="16.5" thickTop="1" thickBot="1" x14ac:dyDescent="0.3">
      <c r="B104" s="24"/>
      <c r="C104" s="152"/>
      <c r="D104" s="111" t="s">
        <v>40</v>
      </c>
      <c r="E104" s="24"/>
      <c r="F104" s="10">
        <v>1</v>
      </c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</row>
    <row r="105" spans="2:36" ht="16.5" thickTop="1" thickBot="1" x14ac:dyDescent="0.3">
      <c r="B105" s="24"/>
      <c r="C105" s="113"/>
      <c r="D105" s="3"/>
      <c r="F105" s="1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</row>
    <row r="106" spans="2:36" ht="16.5" customHeight="1" thickTop="1" thickBot="1" x14ac:dyDescent="0.3">
      <c r="B106" s="24"/>
      <c r="C106" s="152" t="s">
        <v>144</v>
      </c>
      <c r="D106" s="71" t="s">
        <v>42</v>
      </c>
      <c r="E106" s="24"/>
      <c r="F106" s="10">
        <v>1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</row>
    <row r="107" spans="2:36" ht="16.5" thickTop="1" thickBot="1" x14ac:dyDescent="0.3">
      <c r="B107" s="24"/>
      <c r="C107" s="152"/>
      <c r="D107" s="71" t="s">
        <v>82</v>
      </c>
      <c r="E107" s="24"/>
      <c r="F107" s="10">
        <v>1</v>
      </c>
      <c r="G107" s="24"/>
      <c r="H107" s="24"/>
      <c r="I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</row>
    <row r="108" spans="2:36" ht="31.5" thickTop="1" thickBot="1" x14ac:dyDescent="0.3">
      <c r="B108" s="24"/>
      <c r="C108" s="152"/>
      <c r="D108" s="112" t="s">
        <v>142</v>
      </c>
      <c r="E108" s="24"/>
      <c r="F108" s="10">
        <v>1</v>
      </c>
      <c r="G108" s="24"/>
      <c r="H108" s="24"/>
      <c r="I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</row>
    <row r="109" spans="2:36" s="3" customFormat="1" ht="31.5" thickTop="1" thickBot="1" x14ac:dyDescent="0.3">
      <c r="B109" s="24"/>
      <c r="C109" s="152"/>
      <c r="D109" s="131" t="s">
        <v>153</v>
      </c>
      <c r="E109" s="24"/>
      <c r="F109" s="10">
        <v>1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</row>
    <row r="110" spans="2:36" ht="15.75" thickTop="1" x14ac:dyDescent="0.25">
      <c r="B110" s="24"/>
      <c r="C110" s="24"/>
      <c r="F110" s="1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</row>
    <row r="111" spans="2:36" x14ac:dyDescent="0.25">
      <c r="B111" s="24"/>
      <c r="C111" s="24"/>
      <c r="D111" s="24"/>
      <c r="E111" s="24"/>
      <c r="F111" s="33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</row>
    <row r="112" spans="2:36" x14ac:dyDescent="0.25">
      <c r="B112" s="24"/>
      <c r="C112" s="24"/>
      <c r="D112" s="24"/>
      <c r="E112" s="24"/>
      <c r="F112" s="150" t="s">
        <v>23</v>
      </c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</row>
    <row r="113" spans="2:36" ht="15.75" thickBot="1" x14ac:dyDescent="0.3">
      <c r="B113" s="24"/>
      <c r="C113" s="24"/>
      <c r="D113" s="24"/>
      <c r="E113" s="24"/>
      <c r="F113" s="151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</row>
    <row r="114" spans="2:36" ht="16.5" thickTop="1" thickBot="1" x14ac:dyDescent="0.3">
      <c r="B114" s="24"/>
      <c r="C114" s="152" t="s">
        <v>143</v>
      </c>
      <c r="D114" s="111" t="s">
        <v>24</v>
      </c>
      <c r="E114" s="24"/>
      <c r="F114" s="10">
        <v>1</v>
      </c>
      <c r="G114" s="24"/>
      <c r="H114" s="24"/>
      <c r="I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</row>
    <row r="115" spans="2:36" ht="16.5" thickTop="1" thickBot="1" x14ac:dyDescent="0.3">
      <c r="B115" s="24"/>
      <c r="C115" s="152"/>
      <c r="D115" s="111" t="s">
        <v>41</v>
      </c>
      <c r="E115" s="24"/>
      <c r="F115" s="10">
        <v>1</v>
      </c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</row>
    <row r="116" spans="2:36" ht="16.5" thickTop="1" thickBot="1" x14ac:dyDescent="0.3">
      <c r="B116" s="24"/>
      <c r="C116" s="152"/>
      <c r="D116" s="111" t="s">
        <v>40</v>
      </c>
      <c r="E116" s="24"/>
      <c r="F116" s="10">
        <v>1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</row>
    <row r="117" spans="2:36" ht="16.5" thickTop="1" thickBot="1" x14ac:dyDescent="0.3">
      <c r="B117" s="24"/>
      <c r="C117" s="113"/>
      <c r="D117" s="3"/>
      <c r="F117" s="1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</row>
    <row r="118" spans="2:36" ht="16.5" customHeight="1" thickTop="1" thickBot="1" x14ac:dyDescent="0.3">
      <c r="B118" s="24"/>
      <c r="C118" s="152" t="s">
        <v>144</v>
      </c>
      <c r="D118" s="71" t="s">
        <v>42</v>
      </c>
      <c r="E118" s="24"/>
      <c r="F118" s="10">
        <v>1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</row>
    <row r="119" spans="2:36" ht="16.5" thickTop="1" thickBot="1" x14ac:dyDescent="0.3">
      <c r="B119" s="24"/>
      <c r="C119" s="152"/>
      <c r="D119" s="71" t="s">
        <v>82</v>
      </c>
      <c r="E119" s="24"/>
      <c r="F119" s="10">
        <v>1</v>
      </c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</row>
    <row r="120" spans="2:36" ht="31.5" thickTop="1" thickBot="1" x14ac:dyDescent="0.3">
      <c r="B120" s="24"/>
      <c r="C120" s="152"/>
      <c r="D120" s="112" t="s">
        <v>142</v>
      </c>
      <c r="E120" s="24"/>
      <c r="F120" s="10">
        <v>1</v>
      </c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</row>
    <row r="121" spans="2:36" ht="31.5" thickTop="1" thickBot="1" x14ac:dyDescent="0.3">
      <c r="B121" s="24"/>
      <c r="C121" s="152"/>
      <c r="D121" s="110" t="s">
        <v>153</v>
      </c>
      <c r="E121" s="24"/>
      <c r="F121" s="10">
        <v>1</v>
      </c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</row>
    <row r="122" spans="2:36" ht="15.75" thickTop="1" x14ac:dyDescent="0.25">
      <c r="B122" s="24"/>
      <c r="C122" s="24"/>
      <c r="D122" s="24"/>
      <c r="E122" s="24"/>
      <c r="F122" s="33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</row>
    <row r="123" spans="2:36" x14ac:dyDescent="0.25">
      <c r="B123" s="24"/>
      <c r="C123" s="24"/>
      <c r="D123" s="24"/>
      <c r="E123" s="24"/>
      <c r="F123" s="33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</row>
    <row r="124" spans="2:36" x14ac:dyDescent="0.25">
      <c r="B124" s="24"/>
      <c r="C124" s="24"/>
      <c r="D124" s="24"/>
      <c r="E124" s="24"/>
      <c r="F124" s="33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</row>
    <row r="125" spans="2:36" x14ac:dyDescent="0.25">
      <c r="B125" s="24"/>
      <c r="C125" s="24"/>
      <c r="D125" s="24"/>
      <c r="E125" s="24"/>
      <c r="F125" s="33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</row>
    <row r="126" spans="2:36" x14ac:dyDescent="0.25">
      <c r="B126" s="24"/>
      <c r="C126" s="24"/>
      <c r="D126" s="24"/>
      <c r="E126" s="24"/>
      <c r="F126" s="33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</row>
    <row r="127" spans="2:36" x14ac:dyDescent="0.25">
      <c r="B127" s="24"/>
      <c r="C127" s="24"/>
      <c r="D127" s="24"/>
      <c r="E127" s="24"/>
      <c r="F127" s="33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</row>
    <row r="128" spans="2:36" x14ac:dyDescent="0.25">
      <c r="B128" s="24"/>
      <c r="C128" s="24"/>
      <c r="D128" s="24"/>
      <c r="E128" s="24"/>
      <c r="F128" s="33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</row>
    <row r="129" spans="2:36" x14ac:dyDescent="0.25">
      <c r="B129" s="24"/>
      <c r="C129" s="24"/>
      <c r="D129" s="24"/>
      <c r="E129" s="24"/>
      <c r="F129" s="33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</row>
    <row r="130" spans="2:36" x14ac:dyDescent="0.25">
      <c r="B130" s="24"/>
      <c r="C130" s="24"/>
      <c r="D130" s="24"/>
      <c r="E130" s="24"/>
      <c r="F130" s="33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</row>
    <row r="131" spans="2:36" x14ac:dyDescent="0.25">
      <c r="B131" s="24"/>
      <c r="C131" s="24"/>
      <c r="D131" s="24"/>
      <c r="E131" s="24"/>
      <c r="F131" s="33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</row>
    <row r="132" spans="2:36" x14ac:dyDescent="0.25">
      <c r="B132" s="24"/>
      <c r="C132" s="24"/>
      <c r="D132" s="24"/>
      <c r="E132" s="24"/>
      <c r="F132" s="33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</row>
    <row r="133" spans="2:36" x14ac:dyDescent="0.25">
      <c r="B133" s="24"/>
      <c r="C133" s="24"/>
      <c r="D133" s="24"/>
      <c r="E133" s="24"/>
      <c r="F133" s="33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</row>
    <row r="134" spans="2:36" x14ac:dyDescent="0.25">
      <c r="B134" s="24"/>
      <c r="C134" s="24"/>
      <c r="D134" s="24"/>
      <c r="E134" s="24"/>
      <c r="F134" s="33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</row>
    <row r="135" spans="2:36" x14ac:dyDescent="0.25">
      <c r="B135" s="24"/>
      <c r="C135" s="24"/>
      <c r="D135" s="24"/>
      <c r="E135" s="24"/>
      <c r="F135" s="33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</row>
    <row r="136" spans="2:36" x14ac:dyDescent="0.25">
      <c r="B136" s="24"/>
      <c r="C136" s="24"/>
      <c r="D136" s="24"/>
      <c r="E136" s="24"/>
      <c r="F136" s="33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</row>
    <row r="137" spans="2:36" x14ac:dyDescent="0.25">
      <c r="B137" s="24"/>
      <c r="C137" s="24"/>
      <c r="D137" s="24"/>
      <c r="E137" s="24"/>
      <c r="F137" s="33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</row>
    <row r="138" spans="2:36" x14ac:dyDescent="0.25">
      <c r="B138" s="24"/>
      <c r="C138" s="24"/>
      <c r="D138" s="24"/>
      <c r="E138" s="24"/>
      <c r="F138" s="33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</row>
    <row r="139" spans="2:36" x14ac:dyDescent="0.25">
      <c r="B139" s="24"/>
      <c r="C139" s="24"/>
      <c r="D139" s="24"/>
      <c r="E139" s="24"/>
      <c r="F139" s="33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</row>
    <row r="140" spans="2:36" x14ac:dyDescent="0.25">
      <c r="B140" s="24"/>
      <c r="C140" s="24"/>
      <c r="D140" s="24"/>
      <c r="E140" s="24"/>
      <c r="F140" s="33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</row>
    <row r="141" spans="2:36" x14ac:dyDescent="0.25">
      <c r="B141" s="24"/>
      <c r="C141" s="24"/>
      <c r="D141" s="24"/>
      <c r="E141" s="24"/>
      <c r="F141" s="33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</row>
    <row r="142" spans="2:36" x14ac:dyDescent="0.25">
      <c r="B142" s="24"/>
      <c r="C142" s="24"/>
      <c r="D142" s="24"/>
      <c r="E142" s="24"/>
      <c r="F142" s="33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</row>
    <row r="143" spans="2:36" x14ac:dyDescent="0.25">
      <c r="B143" s="24"/>
      <c r="C143" s="24"/>
      <c r="D143" s="24"/>
      <c r="E143" s="24"/>
      <c r="F143" s="33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</row>
    <row r="144" spans="2:36" x14ac:dyDescent="0.25">
      <c r="B144" s="24"/>
      <c r="C144" s="24"/>
      <c r="D144" s="24"/>
      <c r="E144" s="24"/>
      <c r="F144" s="33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</row>
    <row r="145" spans="2:36" x14ac:dyDescent="0.25">
      <c r="B145" s="24"/>
      <c r="C145" s="24"/>
      <c r="D145" s="24"/>
      <c r="E145" s="24"/>
      <c r="F145" s="33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</row>
    <row r="146" spans="2:36" x14ac:dyDescent="0.25">
      <c r="B146" s="24"/>
      <c r="C146" s="24"/>
      <c r="D146" s="24"/>
      <c r="E146" s="24"/>
      <c r="F146" s="33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</row>
    <row r="147" spans="2:36" x14ac:dyDescent="0.25">
      <c r="B147" s="24"/>
      <c r="C147" s="24"/>
      <c r="D147" s="24"/>
      <c r="E147" s="24"/>
      <c r="F147" s="33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</row>
    <row r="148" spans="2:36" x14ac:dyDescent="0.25">
      <c r="B148" s="24"/>
      <c r="C148" s="24"/>
      <c r="D148" s="24"/>
      <c r="E148" s="24"/>
      <c r="F148" s="33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</row>
    <row r="149" spans="2:36" x14ac:dyDescent="0.25">
      <c r="B149" s="24"/>
      <c r="C149" s="24"/>
      <c r="D149" s="24"/>
      <c r="E149" s="24"/>
      <c r="F149" s="33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</row>
    <row r="150" spans="2:36" x14ac:dyDescent="0.25">
      <c r="B150" s="24"/>
      <c r="C150" s="24"/>
      <c r="D150" s="24"/>
      <c r="E150" s="24"/>
      <c r="F150" s="33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</row>
    <row r="151" spans="2:36" x14ac:dyDescent="0.25">
      <c r="B151" s="24"/>
      <c r="C151" s="24"/>
      <c r="D151" s="24"/>
      <c r="E151" s="24"/>
      <c r="F151" s="33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</row>
    <row r="152" spans="2:36" x14ac:dyDescent="0.25">
      <c r="B152" s="24"/>
      <c r="C152" s="24"/>
      <c r="D152" s="24"/>
      <c r="E152" s="24"/>
      <c r="F152" s="33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</row>
    <row r="153" spans="2:36" x14ac:dyDescent="0.25">
      <c r="B153" s="24"/>
      <c r="C153" s="24"/>
      <c r="D153" s="24"/>
      <c r="E153" s="24"/>
      <c r="F153" s="33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</row>
    <row r="154" spans="2:36" x14ac:dyDescent="0.25">
      <c r="B154" s="24"/>
      <c r="C154" s="24"/>
      <c r="D154" s="24"/>
      <c r="E154" s="24"/>
      <c r="F154" s="33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</row>
    <row r="155" spans="2:36" x14ac:dyDescent="0.25">
      <c r="B155" s="24"/>
      <c r="C155" s="24"/>
      <c r="D155" s="24"/>
      <c r="E155" s="24"/>
      <c r="F155" s="33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</row>
    <row r="156" spans="2:36" x14ac:dyDescent="0.25">
      <c r="B156" s="24"/>
      <c r="C156" s="24"/>
      <c r="D156" s="24"/>
      <c r="E156" s="24"/>
      <c r="F156" s="33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</row>
    <row r="157" spans="2:36" x14ac:dyDescent="0.25">
      <c r="B157" s="24"/>
      <c r="C157" s="24"/>
      <c r="D157" s="24"/>
      <c r="E157" s="24"/>
      <c r="F157" s="33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</row>
    <row r="158" spans="2:36" x14ac:dyDescent="0.25">
      <c r="B158" s="24"/>
      <c r="C158" s="24"/>
      <c r="D158" s="24"/>
      <c r="E158" s="24"/>
      <c r="F158" s="33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</row>
    <row r="159" spans="2:36" x14ac:dyDescent="0.25">
      <c r="B159" s="24"/>
      <c r="C159" s="24"/>
      <c r="D159" s="24"/>
      <c r="E159" s="24"/>
      <c r="F159" s="33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</row>
    <row r="160" spans="2:36" x14ac:dyDescent="0.25">
      <c r="B160" s="24"/>
      <c r="C160" s="24"/>
      <c r="D160" s="24"/>
      <c r="E160" s="24"/>
      <c r="F160" s="33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</row>
    <row r="161" spans="2:36" x14ac:dyDescent="0.25">
      <c r="B161" s="24"/>
      <c r="C161" s="24"/>
      <c r="D161" s="24"/>
      <c r="E161" s="24"/>
      <c r="F161" s="33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</row>
    <row r="162" spans="2:36" x14ac:dyDescent="0.25">
      <c r="B162" s="24"/>
      <c r="C162" s="24"/>
      <c r="D162" s="24"/>
      <c r="E162" s="24"/>
      <c r="F162" s="33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</row>
    <row r="163" spans="2:36" x14ac:dyDescent="0.25">
      <c r="B163" s="24"/>
      <c r="C163" s="24"/>
      <c r="D163" s="24"/>
      <c r="E163" s="24"/>
      <c r="F163" s="33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</row>
    <row r="164" spans="2:36" x14ac:dyDescent="0.25">
      <c r="B164" s="24"/>
      <c r="C164" s="24"/>
      <c r="D164" s="24"/>
      <c r="E164" s="24"/>
      <c r="F164" s="33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</row>
    <row r="165" spans="2:36" x14ac:dyDescent="0.25">
      <c r="B165" s="24"/>
      <c r="C165" s="24"/>
      <c r="D165" s="24"/>
      <c r="E165" s="24"/>
      <c r="F165" s="33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</row>
    <row r="166" spans="2:36" x14ac:dyDescent="0.25">
      <c r="B166" s="24"/>
      <c r="C166" s="24"/>
      <c r="D166" s="24"/>
      <c r="E166" s="24"/>
      <c r="F166" s="33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</row>
    <row r="167" spans="2:36" x14ac:dyDescent="0.25">
      <c r="B167" s="24"/>
      <c r="C167" s="24"/>
      <c r="D167" s="24"/>
      <c r="E167" s="24"/>
      <c r="F167" s="33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</row>
    <row r="168" spans="2:36" x14ac:dyDescent="0.25">
      <c r="B168" s="24"/>
      <c r="C168" s="24"/>
      <c r="D168" s="24"/>
      <c r="E168" s="24"/>
      <c r="F168" s="33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</row>
    <row r="169" spans="2:36" x14ac:dyDescent="0.25"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</row>
    <row r="170" spans="2:36" x14ac:dyDescent="0.25"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</row>
    <row r="171" spans="2:36" x14ac:dyDescent="0.25"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</row>
    <row r="172" spans="2:36" x14ac:dyDescent="0.25"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</row>
    <row r="173" spans="2:36" x14ac:dyDescent="0.25"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</row>
    <row r="174" spans="2:36" x14ac:dyDescent="0.25"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</row>
    <row r="175" spans="2:36" x14ac:dyDescent="0.25"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</row>
    <row r="176" spans="2:36" x14ac:dyDescent="0.25"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</row>
    <row r="177" spans="2:36" x14ac:dyDescent="0.25"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</row>
    <row r="178" spans="2:36" x14ac:dyDescent="0.25"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</row>
  </sheetData>
  <sheetProtection algorithmName="SHA-512" hashValue="PE/723w9oj4Bmi37cWXBV0MPjzHmWdDNLEdS8sDAmIb/vTYEZUPJAhAIqG/KQN36L5Mi9Pf9E01PTNjENd598w==" saltValue="Hr/zZ/aGOtuqazqB4j78wg==" spinCount="100000" sheet="1" selectLockedCells="1"/>
  <customSheetViews>
    <customSheetView guid="{008C3BE6-8B52-467A-965A-EFB0ED2F4BF4}" showGridLines="0" showRowCol="0">
      <selection activeCell="B12" sqref="B12:F13"/>
      <pageMargins left="0.7" right="0.7" top="0.75" bottom="0.75" header="0.3" footer="0.3"/>
      <pageSetup paperSize="9" orientation="portrait" r:id="rId1"/>
    </customSheetView>
    <customSheetView guid="{DD657959-DBA4-44AA-BD36-35D76D92C4C8}" showGridLines="0" showRowCol="0">
      <selection activeCell="F42" sqref="F42"/>
      <pageMargins left="0.7" right="0.7" top="0.75" bottom="0.75" header="0.3" footer="0.3"/>
      <pageSetup paperSize="9" orientation="portrait" r:id="rId2"/>
    </customSheetView>
    <customSheetView guid="{4F428F85-A986-464A-BD5B-D43EDDD1A16A}" showGridLines="0" showRowCol="0">
      <selection activeCell="F39" sqref="F39"/>
      <pageMargins left="0.7" right="0.7" top="0.75" bottom="0.75" header="0.3" footer="0.3"/>
      <pageSetup paperSize="9" orientation="portrait" r:id="rId3"/>
    </customSheetView>
    <customSheetView guid="{F017CC66-3157-4857-B035-5B775CD5B9B9}" showGridLines="0" showRowCol="0" topLeftCell="A25">
      <selection activeCell="F35" sqref="F35"/>
      <pageMargins left="0.7" right="0.7" top="0.75" bottom="0.75" header="0.3" footer="0.3"/>
      <pageSetup paperSize="9" orientation="portrait" r:id="rId4"/>
    </customSheetView>
  </customSheetViews>
  <mergeCells count="24">
    <mergeCell ref="B12:F13"/>
    <mergeCell ref="B2:F2"/>
    <mergeCell ref="F52:F53"/>
    <mergeCell ref="F64:F65"/>
    <mergeCell ref="C90:C92"/>
    <mergeCell ref="B21:B25"/>
    <mergeCell ref="C54:C56"/>
    <mergeCell ref="C66:C68"/>
    <mergeCell ref="B27:B33"/>
    <mergeCell ref="F100:F101"/>
    <mergeCell ref="C114:C116"/>
    <mergeCell ref="H21:K28"/>
    <mergeCell ref="H29:K35"/>
    <mergeCell ref="C118:C121"/>
    <mergeCell ref="C106:C109"/>
    <mergeCell ref="C94:C97"/>
    <mergeCell ref="C70:C73"/>
    <mergeCell ref="C58:C61"/>
    <mergeCell ref="F76:F77"/>
    <mergeCell ref="C78:C80"/>
    <mergeCell ref="C82:C85"/>
    <mergeCell ref="F88:F89"/>
    <mergeCell ref="F112:F113"/>
    <mergeCell ref="C102:C104"/>
  </mergeCells>
  <conditionalFormatting sqref="B46:F46">
    <cfRule type="expression" dxfId="11" priority="2">
      <formula>IF($F$44="utente",FALSE,TRUE)</formula>
    </cfRule>
  </conditionalFormatting>
  <conditionalFormatting sqref="F45">
    <cfRule type="expression" dxfId="10" priority="1">
      <formula>IF($F$44="utente",FALSE,TRUE)</formula>
    </cfRule>
  </conditionalFormatting>
  <dataValidations count="5">
    <dataValidation type="list" allowBlank="1" showInputMessage="1" showErrorMessage="1" sqref="F15">
      <formula1>LC</formula1>
    </dataValidation>
    <dataValidation type="list" allowBlank="1" showInputMessage="1" showErrorMessage="1" sqref="F21 F23 F25 F27 F29 F50 F31:F33">
      <formula1>sn</formula1>
    </dataValidation>
    <dataValidation type="list" allowBlank="1" showInputMessage="1" showErrorMessage="1" sqref="B12:F13">
      <formula1>MUR</formula1>
    </dataValidation>
    <dataValidation type="list" allowBlank="1" showInputMessage="1" showErrorMessage="1" sqref="F44">
      <formula1>an</formula1>
    </dataValidation>
    <dataValidation type="list" allowBlank="1" showInputMessage="1" showErrorMessage="1" sqref="F35">
      <formula1>perc</formula1>
    </dataValidation>
  </dataValidations>
  <pageMargins left="0.7" right="0.7" top="0.75" bottom="0.75" header="0.3" footer="0.3"/>
  <pageSetup paperSize="9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1"/>
  <sheetViews>
    <sheetView showGridLines="0" showRowColHeaders="0" zoomScale="90" zoomScaleNormal="90" workbookViewId="0">
      <selection activeCell="B2" sqref="B2:L2"/>
    </sheetView>
  </sheetViews>
  <sheetFormatPr defaultRowHeight="15" x14ac:dyDescent="0.25"/>
  <cols>
    <col min="1" max="1" width="3.140625" style="3" customWidth="1"/>
    <col min="6" max="6" width="9.140625" customWidth="1"/>
    <col min="7" max="8" width="14.5703125" customWidth="1"/>
    <col min="9" max="9" width="14.5703125" style="3" customWidth="1"/>
    <col min="10" max="10" width="14.5703125" customWidth="1"/>
    <col min="11" max="11" width="17.140625" customWidth="1"/>
    <col min="12" max="12" width="14.5703125" customWidth="1"/>
    <col min="16" max="16" width="20.42578125" customWidth="1"/>
    <col min="21" max="25" width="14.85546875" customWidth="1"/>
  </cols>
  <sheetData>
    <row r="1" spans="2:17" s="3" customFormat="1" x14ac:dyDescent="0.2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2:17" s="3" customFormat="1" x14ac:dyDescent="0.25">
      <c r="B2" s="176" t="s">
        <v>83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9"/>
      <c r="N2" s="9"/>
      <c r="O2" s="9"/>
      <c r="P2" s="9"/>
      <c r="Q2" s="9"/>
    </row>
    <row r="3" spans="2:17" s="3" customFormat="1" x14ac:dyDescent="0.25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x14ac:dyDescent="0.25">
      <c r="B4" s="167" t="str">
        <f>'FOGLIO DEPOSITO'!B82</f>
        <v xml:space="preserve">Muratura in pietrame disordinata </v>
      </c>
      <c r="C4" s="167"/>
      <c r="D4" s="167"/>
      <c r="E4" s="167"/>
      <c r="F4" s="167"/>
      <c r="G4" s="162" t="s">
        <v>19</v>
      </c>
      <c r="H4" s="162" t="s">
        <v>20</v>
      </c>
      <c r="I4" s="177" t="s">
        <v>137</v>
      </c>
      <c r="J4" s="162" t="s">
        <v>21</v>
      </c>
      <c r="K4" s="162" t="s">
        <v>22</v>
      </c>
      <c r="L4" s="162" t="s">
        <v>23</v>
      </c>
      <c r="N4" s="9"/>
      <c r="O4" s="9"/>
      <c r="P4" s="9"/>
      <c r="Q4" s="9"/>
    </row>
    <row r="5" spans="2:17" x14ac:dyDescent="0.25">
      <c r="B5" s="167"/>
      <c r="C5" s="167"/>
      <c r="D5" s="167"/>
      <c r="E5" s="167"/>
      <c r="F5" s="167"/>
      <c r="G5" s="162"/>
      <c r="H5" s="162"/>
      <c r="I5" s="178"/>
      <c r="J5" s="162"/>
      <c r="K5" s="162"/>
      <c r="L5" s="162"/>
      <c r="N5" s="9"/>
      <c r="O5" s="9"/>
      <c r="P5" s="9"/>
      <c r="Q5" s="9"/>
    </row>
    <row r="6" spans="2:17" ht="15" customHeight="1" x14ac:dyDescent="0.25">
      <c r="B6" s="167"/>
      <c r="C6" s="167"/>
      <c r="D6" s="167"/>
      <c r="E6" s="167"/>
      <c r="F6" s="167"/>
      <c r="G6" s="92">
        <f>'FOGLIO DEPOSITO'!H84</f>
        <v>100</v>
      </c>
      <c r="H6" s="92">
        <f>'FOGLIO DEPOSITO'!I84</f>
        <v>1.8</v>
      </c>
      <c r="I6" s="92">
        <f>'FOGLIO DEPOSITO'!J84</f>
        <v>0</v>
      </c>
      <c r="J6" s="92">
        <f>'FOGLIO DEPOSITO'!K84</f>
        <v>870</v>
      </c>
      <c r="K6" s="92">
        <f>'FOGLIO DEPOSITO'!L84</f>
        <v>290</v>
      </c>
      <c r="L6" s="92">
        <f>'FOGLIO DEPOSITO'!M84</f>
        <v>19</v>
      </c>
      <c r="N6" s="9"/>
      <c r="O6" s="9"/>
      <c r="P6" s="9"/>
      <c r="Q6" s="9"/>
    </row>
    <row r="7" spans="2:17" x14ac:dyDescent="0.25">
      <c r="B7" s="168" t="s">
        <v>24</v>
      </c>
      <c r="C7" s="168"/>
      <c r="D7" s="168"/>
      <c r="E7" s="168"/>
      <c r="F7" s="168"/>
      <c r="G7" s="92">
        <f>IF(DATI!$F$50="SI",DATI!F54,'FOGLIO DEPOSITO'!H85)</f>
        <v>1</v>
      </c>
      <c r="H7" s="92">
        <f>IF(DATI!$F$50="SI",DATI!F66,'FOGLIO DEPOSITO'!I85)</f>
        <v>1</v>
      </c>
      <c r="I7" s="92">
        <f>IF(DATI!$F$50="SI",DATI!F78,'FOGLIO DEPOSITO'!J85)</f>
        <v>1</v>
      </c>
      <c r="J7" s="92">
        <f>IF(DATI!$F$50="SI",DATI!F90,'FOGLIO DEPOSITO'!K85)</f>
        <v>1</v>
      </c>
      <c r="K7" s="92">
        <f>IF(DATI!$F$50="SI",DATI!F102,'FOGLIO DEPOSITO'!L85)</f>
        <v>1</v>
      </c>
      <c r="L7" s="92">
        <f>IF(DATI!$F$50="SI",DATI!F114,'FOGLIO DEPOSITO'!M85)</f>
        <v>1</v>
      </c>
      <c r="N7" s="9"/>
      <c r="O7" s="9"/>
      <c r="P7" s="9"/>
      <c r="Q7" s="9"/>
    </row>
    <row r="8" spans="2:17" x14ac:dyDescent="0.25">
      <c r="B8" s="168" t="s">
        <v>41</v>
      </c>
      <c r="C8" s="168"/>
      <c r="D8" s="168"/>
      <c r="E8" s="168"/>
      <c r="F8" s="168"/>
      <c r="G8" s="92">
        <f>IF(DATI!$F$50="SI",DATI!F55,'FOGLIO DEPOSITO'!H87)</f>
        <v>1</v>
      </c>
      <c r="H8" s="92">
        <f>IF(DATI!$F$50="SI",DATI!F67,'FOGLIO DEPOSITO'!I87)</f>
        <v>1</v>
      </c>
      <c r="I8" s="92">
        <f>IF(DATI!$F$50="SI",DATI!F79,'FOGLIO DEPOSITO'!J87)</f>
        <v>1</v>
      </c>
      <c r="J8" s="92">
        <f>IF(DATI!$F$50="SI",DATI!F91,'FOGLIO DEPOSITO'!K87)</f>
        <v>1</v>
      </c>
      <c r="K8" s="92">
        <f>IF(DATI!$F$50="SI",DATI!F103,'FOGLIO DEPOSITO'!L87)</f>
        <v>1</v>
      </c>
      <c r="L8" s="92">
        <f>IF(DATI!$F$50="SI",DATI!F115,'FOGLIO DEPOSITO'!M87)</f>
        <v>1</v>
      </c>
      <c r="N8" s="9"/>
      <c r="O8" s="9"/>
      <c r="P8" s="9"/>
      <c r="Q8" s="9"/>
    </row>
    <row r="9" spans="2:17" x14ac:dyDescent="0.25">
      <c r="B9" s="168" t="s">
        <v>40</v>
      </c>
      <c r="C9" s="168"/>
      <c r="D9" s="168"/>
      <c r="E9" s="168"/>
      <c r="F9" s="168"/>
      <c r="G9" s="92">
        <f>IF(DATI!$F$50="SI",DATI!F56,'FOGLIO DEPOSITO'!H88)</f>
        <v>1</v>
      </c>
      <c r="H9" s="92">
        <f>IF(DATI!$F$50="SI",DATI!F68,'FOGLIO DEPOSITO'!I88)</f>
        <v>1</v>
      </c>
      <c r="I9" s="92">
        <f>IF(DATI!$F$50="SI",DATI!F80,'FOGLIO DEPOSITO'!J88)</f>
        <v>1</v>
      </c>
      <c r="J9" s="92">
        <f>IF(DATI!$F$50="SI",DATI!F92,'FOGLIO DEPOSITO'!K88)</f>
        <v>1</v>
      </c>
      <c r="K9" s="92">
        <f>IF(DATI!$F$50="SI",DATI!F104,'FOGLIO DEPOSITO'!L88)</f>
        <v>1</v>
      </c>
      <c r="L9" s="92">
        <f>IF(DATI!$F$50="SI",DATI!F116,'FOGLIO DEPOSITO'!M88)</f>
        <v>1</v>
      </c>
      <c r="N9" s="9"/>
      <c r="O9" s="9"/>
      <c r="P9" s="9"/>
      <c r="Q9" s="9"/>
    </row>
    <row r="10" spans="2:17" x14ac:dyDescent="0.25">
      <c r="B10" s="166" t="s">
        <v>42</v>
      </c>
      <c r="C10" s="166"/>
      <c r="D10" s="166"/>
      <c r="E10" s="166"/>
      <c r="F10" s="166"/>
      <c r="G10" s="92">
        <f>IF(DATI!$F$50="SI",DATI!F58,'FOGLIO DEPOSITO'!H90)</f>
        <v>1</v>
      </c>
      <c r="H10" s="92">
        <f>IF(DATI!$F$50="SI",DATI!F70,'FOGLIO DEPOSITO'!I90)</f>
        <v>1</v>
      </c>
      <c r="I10" s="92">
        <f>IF(DATI!$F$50="SI",DATI!F82,'FOGLIO DEPOSITO'!J90)</f>
        <v>1</v>
      </c>
      <c r="J10" s="92">
        <f>IF(DATI!$F$50="SI",DATI!F94,'FOGLIO DEPOSITO'!K90)</f>
        <v>1</v>
      </c>
      <c r="K10" s="92">
        <f>IF(DATI!$F$50="SI",DATI!F106,'FOGLIO DEPOSITO'!L90)</f>
        <v>1</v>
      </c>
      <c r="L10" s="92">
        <f>IF(DATI!$F$50="SI",DATI!F118,'FOGLIO DEPOSITO'!M90)</f>
        <v>1</v>
      </c>
      <c r="N10" s="9"/>
      <c r="O10" s="9"/>
      <c r="P10" s="9"/>
      <c r="Q10" s="9"/>
    </row>
    <row r="11" spans="2:17" x14ac:dyDescent="0.25">
      <c r="B11" s="166" t="s">
        <v>148</v>
      </c>
      <c r="C11" s="166"/>
      <c r="D11" s="166"/>
      <c r="E11" s="166"/>
      <c r="F11" s="166"/>
      <c r="G11" s="92">
        <f>IF(DATI!$F$50="SI",DATI!F59,'FOGLIO DEPOSITO'!H91)</f>
        <v>1</v>
      </c>
      <c r="H11" s="92">
        <f>IF(DATI!$F$50="SI",DATI!F71,'FOGLIO DEPOSITO'!I91)</f>
        <v>1</v>
      </c>
      <c r="I11" s="92">
        <f>IF(DATI!$F$50="SI",DATI!F83,'FOGLIO DEPOSITO'!J91)</f>
        <v>1</v>
      </c>
      <c r="J11" s="92">
        <f>IF(DATI!$F$50="SI",DATI!F95,'FOGLIO DEPOSITO'!K91)</f>
        <v>1</v>
      </c>
      <c r="K11" s="92">
        <f>IF(DATI!$F$50="SI",DATI!F107,'FOGLIO DEPOSITO'!L91)</f>
        <v>1</v>
      </c>
      <c r="L11" s="92">
        <f>IF(DATI!$F$50="SI",DATI!F119,'FOGLIO DEPOSITO'!M91)</f>
        <v>1</v>
      </c>
    </row>
    <row r="12" spans="2:17" x14ac:dyDescent="0.25">
      <c r="B12" s="168" t="s">
        <v>142</v>
      </c>
      <c r="C12" s="168"/>
      <c r="D12" s="168"/>
      <c r="E12" s="168"/>
      <c r="F12" s="168"/>
      <c r="G12" s="129">
        <f>IF(DATI!$F$50="SI",DATI!F60,'FOGLIO DEPOSITO'!H86)</f>
        <v>1</v>
      </c>
      <c r="H12" s="129">
        <f>IF(DATI!$F$50="SI",DATI!F72,'FOGLIO DEPOSITO'!I86)</f>
        <v>1</v>
      </c>
      <c r="I12" s="129">
        <f>IF(DATI!$F$50="SI",DATI!F84,'FOGLIO DEPOSITO'!J86)</f>
        <v>1</v>
      </c>
      <c r="J12" s="129">
        <f>IF(DATI!$F$50="SI",DATI!F96,'FOGLIO DEPOSITO'!K86)</f>
        <v>1</v>
      </c>
      <c r="K12" s="129">
        <f>IF(DATI!$F$50="SI",DATI!F108,'FOGLIO DEPOSITO'!L86)</f>
        <v>1</v>
      </c>
      <c r="L12" s="129">
        <f>IF(DATI!$F$50="SI",DATI!F120,'FOGLIO DEPOSITO'!M86)</f>
        <v>1</v>
      </c>
    </row>
    <row r="13" spans="2:17" s="3" customFormat="1" x14ac:dyDescent="0.25">
      <c r="B13" s="168" t="s">
        <v>153</v>
      </c>
      <c r="C13" s="168"/>
      <c r="D13" s="168"/>
      <c r="E13" s="168"/>
      <c r="F13" s="168"/>
      <c r="G13" s="129">
        <f>IF(DATI!$F$50="SI",DATI!F61,'FOGLIO DEPOSITO'!H89)</f>
        <v>1</v>
      </c>
      <c r="H13" s="129">
        <f>IF(DATI!$F$50="SI",DATI!F73,'FOGLIO DEPOSITO'!I89)</f>
        <v>1</v>
      </c>
      <c r="I13" s="129">
        <f>IF(DATI!$F$50="SI",DATI!F85,'FOGLIO DEPOSITO'!J89)</f>
        <v>1</v>
      </c>
      <c r="J13" s="129">
        <f>IF(DATI!$F$50="SI",DATI!F97,'FOGLIO DEPOSITO'!K89)</f>
        <v>1</v>
      </c>
      <c r="K13" s="129">
        <f>IF(DATI!$F$50="SI",DATI!F109,'FOGLIO DEPOSITO'!L89)</f>
        <v>1</v>
      </c>
      <c r="L13" s="129">
        <f>IF(DATI!$F$50="SI",DATI!F121,'FOGLIO DEPOSITO'!M89)</f>
        <v>1</v>
      </c>
    </row>
    <row r="14" spans="2:17" x14ac:dyDescent="0.25">
      <c r="B14" s="166" t="s">
        <v>129</v>
      </c>
      <c r="C14" s="166"/>
      <c r="D14" s="166"/>
      <c r="E14" s="166"/>
      <c r="F14" s="166"/>
      <c r="G14" s="92">
        <v>1</v>
      </c>
      <c r="H14" s="92">
        <v>1</v>
      </c>
      <c r="I14" s="92">
        <v>1</v>
      </c>
      <c r="J14" s="92">
        <f>'FOGLIO DEPOSITO'!N96</f>
        <v>1</v>
      </c>
      <c r="K14" s="92">
        <f>'FOGLIO DEPOSITO'!N96</f>
        <v>1</v>
      </c>
      <c r="L14" s="92">
        <v>1</v>
      </c>
    </row>
    <row r="15" spans="2:17" s="3" customFormat="1" x14ac:dyDescent="0.25">
      <c r="B15" s="172" t="s">
        <v>161</v>
      </c>
      <c r="C15" s="172"/>
      <c r="D15" s="172"/>
      <c r="E15" s="172"/>
      <c r="F15" s="172"/>
      <c r="G15" s="139">
        <f>PRODUCT(G7:G14)</f>
        <v>1</v>
      </c>
      <c r="H15" s="139">
        <f t="shared" ref="H15:L15" si="0">PRODUCT(H7:H14)</f>
        <v>1</v>
      </c>
      <c r="I15" s="139">
        <f t="shared" si="0"/>
        <v>1</v>
      </c>
      <c r="J15" s="139">
        <f t="shared" si="0"/>
        <v>1</v>
      </c>
      <c r="K15" s="139">
        <f t="shared" si="0"/>
        <v>1</v>
      </c>
      <c r="L15" s="139">
        <f t="shared" si="0"/>
        <v>1</v>
      </c>
    </row>
    <row r="16" spans="2:17" s="3" customFormat="1" x14ac:dyDescent="0.25">
      <c r="B16" s="162" t="s">
        <v>162</v>
      </c>
      <c r="C16" s="162"/>
      <c r="D16" s="162"/>
      <c r="E16" s="162"/>
      <c r="F16" s="142">
        <f>VLOOKUP(B4,'FOGLIO DEPOSITO'!C5:Q12,15,FALSE)</f>
        <v>3.5</v>
      </c>
      <c r="G16" s="92">
        <f>IF(G15&lt;=$F$16,G15,F16)</f>
        <v>1</v>
      </c>
      <c r="H16" s="92">
        <f t="shared" ref="H16:L16" si="1">IF(H15&lt;=$F$16,H15,G16)</f>
        <v>1</v>
      </c>
      <c r="I16" s="92">
        <f t="shared" si="1"/>
        <v>1</v>
      </c>
      <c r="J16" s="92">
        <f t="shared" si="1"/>
        <v>1</v>
      </c>
      <c r="K16" s="92">
        <f t="shared" si="1"/>
        <v>1</v>
      </c>
      <c r="L16" s="92">
        <f t="shared" si="1"/>
        <v>1</v>
      </c>
    </row>
    <row r="17" spans="2:17" x14ac:dyDescent="0.25">
      <c r="B17" s="9"/>
      <c r="C17" s="9"/>
      <c r="D17" s="9"/>
      <c r="E17" s="9"/>
      <c r="F17" s="9"/>
      <c r="G17" s="93">
        <f>G6*G16</f>
        <v>100</v>
      </c>
      <c r="H17" s="93">
        <f t="shared" ref="H17:L17" si="2">H6*H16</f>
        <v>1.8</v>
      </c>
      <c r="I17" s="93">
        <f>IFERROR(I6*I16,0)</f>
        <v>0</v>
      </c>
      <c r="J17" s="94">
        <f t="shared" si="2"/>
        <v>870</v>
      </c>
      <c r="K17" s="94">
        <f t="shared" si="2"/>
        <v>290</v>
      </c>
      <c r="L17" s="95">
        <f t="shared" si="2"/>
        <v>19</v>
      </c>
    </row>
    <row r="18" spans="2:17" s="3" customFormat="1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2:17" x14ac:dyDescent="0.25">
      <c r="B19" s="173" t="s">
        <v>84</v>
      </c>
      <c r="C19" s="174"/>
      <c r="D19" s="174"/>
      <c r="E19" s="174"/>
      <c r="F19" s="174"/>
      <c r="G19" s="175"/>
      <c r="H19" s="143" t="s">
        <v>7</v>
      </c>
      <c r="I19" s="133">
        <f>L17</f>
        <v>19</v>
      </c>
      <c r="J19" s="165">
        <f>I19/10</f>
        <v>1.9</v>
      </c>
      <c r="K19" s="165"/>
      <c r="L19" s="9"/>
      <c r="M19" s="9"/>
      <c r="N19" s="9"/>
      <c r="O19" s="9"/>
      <c r="P19" s="9"/>
      <c r="Q19" s="9"/>
    </row>
    <row r="20" spans="2:17" ht="18.75" x14ac:dyDescent="0.25">
      <c r="B20" s="173" t="s">
        <v>85</v>
      </c>
      <c r="C20" s="174"/>
      <c r="D20" s="174"/>
      <c r="E20" s="174"/>
      <c r="F20" s="174"/>
      <c r="G20" s="175"/>
      <c r="H20" s="84" t="s">
        <v>8</v>
      </c>
      <c r="I20" s="67">
        <f>G17*10</f>
        <v>1000</v>
      </c>
      <c r="J20" s="163">
        <f>I20/1000</f>
        <v>1</v>
      </c>
      <c r="K20" s="163"/>
      <c r="L20" s="9"/>
      <c r="M20" s="9"/>
      <c r="N20" s="9"/>
      <c r="O20" s="9"/>
      <c r="P20" s="9"/>
      <c r="Q20" s="9"/>
    </row>
    <row r="21" spans="2:17" ht="18.75" x14ac:dyDescent="0.3">
      <c r="B21" s="173" t="s">
        <v>86</v>
      </c>
      <c r="C21" s="174"/>
      <c r="D21" s="174"/>
      <c r="E21" s="174"/>
      <c r="F21" s="174"/>
      <c r="G21" s="175"/>
      <c r="H21" s="91" t="s">
        <v>49</v>
      </c>
      <c r="I21" s="67">
        <f>H17*10</f>
        <v>18</v>
      </c>
      <c r="J21" s="163">
        <f>I21/1000</f>
        <v>1.7999999999999999E-2</v>
      </c>
      <c r="K21" s="163"/>
      <c r="L21" s="9"/>
      <c r="M21" s="9"/>
      <c r="N21" s="9"/>
      <c r="O21" s="9"/>
      <c r="P21" s="9"/>
      <c r="Q21" s="9"/>
    </row>
    <row r="22" spans="2:17" s="3" customFormat="1" x14ac:dyDescent="0.25">
      <c r="B22" s="173" t="s">
        <v>156</v>
      </c>
      <c r="C22" s="174"/>
      <c r="D22" s="174"/>
      <c r="E22" s="174"/>
      <c r="F22" s="174"/>
      <c r="G22" s="175"/>
      <c r="H22" s="89" t="s">
        <v>157</v>
      </c>
      <c r="I22" s="134">
        <f>I17*10</f>
        <v>0</v>
      </c>
      <c r="J22" s="163">
        <f>I22/1000</f>
        <v>0</v>
      </c>
      <c r="K22" s="163"/>
      <c r="L22" s="9"/>
      <c r="M22" s="9"/>
      <c r="N22" s="9"/>
      <c r="O22" s="9"/>
      <c r="P22" s="9"/>
      <c r="Q22" s="9"/>
    </row>
    <row r="23" spans="2:17" ht="7.5" customHeight="1" x14ac:dyDescent="0.25">
      <c r="B23" s="132"/>
      <c r="C23" s="132"/>
      <c r="D23" s="132"/>
      <c r="E23" s="132"/>
      <c r="F23" s="132"/>
      <c r="G23" s="132"/>
      <c r="H23" s="97"/>
      <c r="I23" s="53"/>
      <c r="J23" s="96"/>
      <c r="K23" s="9"/>
      <c r="L23" s="9"/>
      <c r="M23" s="9"/>
      <c r="N23" s="9"/>
      <c r="O23" s="9"/>
      <c r="P23" s="9"/>
      <c r="Q23" s="9"/>
    </row>
    <row r="24" spans="2:17" ht="18.75" x14ac:dyDescent="0.25">
      <c r="B24" s="173" t="s">
        <v>87</v>
      </c>
      <c r="C24" s="174"/>
      <c r="D24" s="174"/>
      <c r="E24" s="174"/>
      <c r="F24" s="174"/>
      <c r="G24" s="175"/>
      <c r="H24" s="84" t="s">
        <v>14</v>
      </c>
      <c r="I24" s="134">
        <f>I20/(I31*I32)</f>
        <v>370.37037037037032</v>
      </c>
      <c r="J24" s="163">
        <f>I24/1000</f>
        <v>0.37037037037037035</v>
      </c>
      <c r="K24" s="163"/>
      <c r="L24" s="9"/>
      <c r="M24" s="9"/>
      <c r="N24" s="9"/>
      <c r="O24" s="9"/>
      <c r="P24" s="9"/>
      <c r="Q24" s="9"/>
    </row>
    <row r="25" spans="2:17" ht="18.75" x14ac:dyDescent="0.3">
      <c r="B25" s="173" t="s">
        <v>88</v>
      </c>
      <c r="C25" s="174"/>
      <c r="D25" s="174"/>
      <c r="E25" s="174"/>
      <c r="F25" s="174"/>
      <c r="G25" s="175"/>
      <c r="H25" s="91" t="s">
        <v>3</v>
      </c>
      <c r="I25" s="134">
        <f>H17*10/(I31*I32)</f>
        <v>6.6666666666666661</v>
      </c>
      <c r="J25" s="163">
        <f>I25/1000</f>
        <v>6.6666666666666662E-3</v>
      </c>
      <c r="K25" s="163"/>
      <c r="L25" s="9"/>
      <c r="M25" s="9"/>
      <c r="N25" s="9"/>
      <c r="O25" s="9"/>
      <c r="P25" s="9"/>
      <c r="Q25" s="9"/>
    </row>
    <row r="26" spans="2:17" s="3" customFormat="1" x14ac:dyDescent="0.25">
      <c r="B26" s="173" t="s">
        <v>158</v>
      </c>
      <c r="C26" s="174"/>
      <c r="D26" s="174"/>
      <c r="E26" s="174"/>
      <c r="F26" s="174"/>
      <c r="G26" s="175"/>
      <c r="H26" s="89" t="s">
        <v>159</v>
      </c>
      <c r="I26" s="134">
        <f>I17*10/(I31*I32)</f>
        <v>0</v>
      </c>
      <c r="J26" s="163">
        <f>I26/1000</f>
        <v>0</v>
      </c>
      <c r="K26" s="163"/>
      <c r="L26" s="9"/>
      <c r="M26" s="9"/>
      <c r="N26" s="9"/>
      <c r="O26" s="9"/>
      <c r="P26" s="9"/>
      <c r="Q26" s="9"/>
    </row>
    <row r="27" spans="2:17" ht="9.75" customHeight="1" x14ac:dyDescent="0.25">
      <c r="B27" s="132"/>
      <c r="C27" s="132"/>
      <c r="D27" s="132"/>
      <c r="E27" s="132"/>
      <c r="F27" s="132"/>
      <c r="G27" s="132"/>
      <c r="H27" s="97"/>
      <c r="I27" s="9"/>
      <c r="J27" s="9"/>
      <c r="K27" s="9"/>
      <c r="L27" s="9"/>
      <c r="M27" s="9"/>
      <c r="N27" s="9"/>
      <c r="O27" s="9"/>
      <c r="P27" s="9"/>
      <c r="Q27" s="9"/>
    </row>
    <row r="28" spans="2:17" x14ac:dyDescent="0.25">
      <c r="B28" s="173" t="s">
        <v>126</v>
      </c>
      <c r="C28" s="174"/>
      <c r="D28" s="174"/>
      <c r="E28" s="174"/>
      <c r="F28" s="174"/>
      <c r="G28" s="175"/>
      <c r="H28" s="143" t="s">
        <v>50</v>
      </c>
      <c r="I28" s="135">
        <f>J17</f>
        <v>870</v>
      </c>
      <c r="J28" s="164">
        <f>I28*1000</f>
        <v>870000</v>
      </c>
      <c r="K28" s="164"/>
      <c r="L28" s="9"/>
      <c r="M28" s="9"/>
      <c r="N28" s="9"/>
      <c r="O28" s="9"/>
      <c r="P28" s="9"/>
      <c r="Q28" s="9"/>
    </row>
    <row r="29" spans="2:17" x14ac:dyDescent="0.25">
      <c r="B29" s="173" t="s">
        <v>91</v>
      </c>
      <c r="C29" s="174"/>
      <c r="D29" s="174"/>
      <c r="E29" s="174"/>
      <c r="F29" s="174"/>
      <c r="G29" s="175"/>
      <c r="H29" s="143" t="s">
        <v>51</v>
      </c>
      <c r="I29" s="135">
        <f>K17</f>
        <v>290</v>
      </c>
      <c r="J29" s="164">
        <f>I29*1000</f>
        <v>290000</v>
      </c>
      <c r="K29" s="164"/>
      <c r="L29" s="9"/>
      <c r="M29" s="98"/>
      <c r="N29" s="9"/>
      <c r="O29" s="9"/>
      <c r="P29" s="9"/>
      <c r="Q29" s="9"/>
    </row>
    <row r="30" spans="2:17" ht="7.5" customHeight="1" x14ac:dyDescent="0.25">
      <c r="B30" s="132"/>
      <c r="C30" s="132"/>
      <c r="D30" s="132"/>
      <c r="E30" s="132"/>
      <c r="F30" s="132"/>
      <c r="G30" s="132"/>
      <c r="H30" s="9"/>
      <c r="I30" s="99"/>
      <c r="J30" s="9"/>
      <c r="K30" s="9"/>
      <c r="L30" s="9"/>
      <c r="M30" s="9"/>
      <c r="N30" s="9"/>
      <c r="O30" s="9"/>
      <c r="P30" s="9"/>
      <c r="Q30" s="9"/>
    </row>
    <row r="31" spans="2:17" x14ac:dyDescent="0.25">
      <c r="B31" s="169" t="s">
        <v>34</v>
      </c>
      <c r="C31" s="170"/>
      <c r="D31" s="170"/>
      <c r="E31" s="170"/>
      <c r="F31" s="170"/>
      <c r="G31" s="171"/>
      <c r="H31" s="143" t="s">
        <v>0</v>
      </c>
      <c r="I31" s="92">
        <f>DATI!F16</f>
        <v>1.35</v>
      </c>
      <c r="J31" s="162" t="s">
        <v>109</v>
      </c>
      <c r="K31" s="162"/>
      <c r="L31" s="9"/>
      <c r="M31" s="9"/>
      <c r="N31" s="9"/>
      <c r="O31" s="9"/>
      <c r="P31" s="9"/>
      <c r="Q31" s="9"/>
    </row>
    <row r="32" spans="2:17" ht="18.75" x14ac:dyDescent="0.25">
      <c r="B32" s="169" t="s">
        <v>89</v>
      </c>
      <c r="C32" s="170"/>
      <c r="D32" s="170"/>
      <c r="E32" s="170"/>
      <c r="F32" s="170"/>
      <c r="G32" s="171"/>
      <c r="H32" s="136" t="s">
        <v>6</v>
      </c>
      <c r="I32" s="141">
        <f>DATI!F45</f>
        <v>2</v>
      </c>
      <c r="J32" s="162" t="s">
        <v>109</v>
      </c>
      <c r="K32" s="162"/>
      <c r="L32" s="9"/>
      <c r="M32" s="9"/>
      <c r="N32" s="9"/>
      <c r="O32" s="9"/>
      <c r="P32" s="9"/>
      <c r="Q32" s="9"/>
    </row>
    <row r="33" spans="2:17" x14ac:dyDescent="0.25"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2:17" x14ac:dyDescent="0.25"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2:17" x14ac:dyDescent="0.25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  <row r="36" spans="2:17" x14ac:dyDescent="0.25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2:17" x14ac:dyDescent="0.2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2:17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2:17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2:17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2:17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2:17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2:17" x14ac:dyDescent="0.25">
      <c r="B43" s="9"/>
      <c r="C43" s="9"/>
      <c r="D43" s="9"/>
      <c r="E43" s="9"/>
      <c r="F43" s="9"/>
      <c r="G43" s="9"/>
      <c r="H43" s="51"/>
      <c r="I43" s="51"/>
      <c r="J43" s="9"/>
      <c r="K43" s="9"/>
      <c r="L43" s="9"/>
      <c r="M43" s="9"/>
      <c r="N43" s="9"/>
      <c r="O43" s="9"/>
      <c r="P43" s="9"/>
      <c r="Q43" s="9"/>
    </row>
    <row r="44" spans="2:17" x14ac:dyDescent="0.25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</row>
    <row r="45" spans="2:17" x14ac:dyDescent="0.25">
      <c r="B45" s="9"/>
      <c r="C45" s="9"/>
      <c r="D45" s="9"/>
      <c r="E45" s="9"/>
      <c r="F45" s="9"/>
      <c r="G45" s="9"/>
      <c r="H45" s="51"/>
      <c r="I45" s="51"/>
      <c r="J45" s="9"/>
      <c r="K45" s="9"/>
      <c r="L45" s="9"/>
      <c r="M45" s="9"/>
      <c r="N45" s="9"/>
      <c r="O45" s="9"/>
      <c r="P45" s="9"/>
      <c r="Q45" s="9"/>
    </row>
    <row r="46" spans="2:17" x14ac:dyDescent="0.25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</row>
    <row r="47" spans="2:17" x14ac:dyDescent="0.25">
      <c r="B47" s="9"/>
      <c r="C47" s="9"/>
      <c r="D47" s="9"/>
      <c r="E47" s="9"/>
      <c r="F47" s="9"/>
      <c r="G47" s="9"/>
      <c r="H47" s="51"/>
      <c r="I47" s="51"/>
      <c r="J47" s="9"/>
      <c r="K47" s="9"/>
      <c r="L47" s="9"/>
      <c r="M47" s="9"/>
      <c r="N47" s="9"/>
      <c r="O47" s="9"/>
      <c r="P47" s="9"/>
      <c r="Q47" s="9"/>
    </row>
    <row r="48" spans="2:17" x14ac:dyDescent="0.25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</row>
    <row r="49" spans="2:17" x14ac:dyDescent="0.25">
      <c r="B49" s="9"/>
      <c r="C49" s="9"/>
      <c r="D49" s="9"/>
      <c r="E49" s="9"/>
      <c r="F49" s="9"/>
      <c r="G49" s="9"/>
      <c r="H49" s="51"/>
      <c r="I49" s="51"/>
      <c r="J49" s="9"/>
      <c r="K49" s="9"/>
      <c r="L49" s="9"/>
      <c r="M49" s="9"/>
      <c r="N49" s="9"/>
      <c r="O49" s="9"/>
      <c r="P49" s="9"/>
      <c r="Q49" s="9"/>
    </row>
    <row r="51" spans="2:17" x14ac:dyDescent="0.25">
      <c r="H51" s="1"/>
      <c r="I51" s="1"/>
    </row>
  </sheetData>
  <sheetProtection algorithmName="SHA-512" hashValue="D1i4W9dwXzs+2BreGUrnL+W69WX1nXP0x4enM4iNqdjTGFf2yGeta1UfIjB9Sj333s+BaHG1bpw1CmJ/18UXLg==" saltValue="myaHRoslifSE7b9W8PTOFQ==" spinCount="100000" sheet="1" objects="1" scenarios="1"/>
  <customSheetViews>
    <customSheetView guid="{008C3BE6-8B52-467A-965A-EFB0ED2F4BF4}" scale="90" showGridLines="0" showRowCol="0" fitToPage="1">
      <selection activeCell="B2" sqref="B2:L2"/>
      <pageMargins left="0.7" right="0.7" top="0.75" bottom="0.75" header="0.3" footer="0.3"/>
      <pageSetup paperSize="9" orientation="landscape" r:id="rId1"/>
    </customSheetView>
    <customSheetView guid="{DD657959-DBA4-44AA-BD36-35D76D92C4C8}" scale="90" showGridLines="0" showRowCol="0" fitToPage="1">
      <selection activeCell="B2" sqref="B2:K2"/>
      <pageMargins left="0.7" right="0.7" top="0.75" bottom="0.75" header="0.3" footer="0.3"/>
      <pageSetup paperSize="9" orientation="landscape" r:id="rId2"/>
    </customSheetView>
    <customSheetView guid="{4F428F85-A986-464A-BD5B-D43EDDD1A16A}" scale="90" showGridLines="0" showRowCol="0" fitToPage="1">
      <selection activeCell="J24" sqref="J24"/>
      <pageMargins left="0.7" right="0.7" top="0.75" bottom="0.75" header="0.3" footer="0.3"/>
      <pageSetup paperSize="9" orientation="landscape" r:id="rId3"/>
    </customSheetView>
    <customSheetView guid="{F017CC66-3157-4857-B035-5B775CD5B9B9}" scale="90" showGridLines="0" showRowCol="0" fitToPage="1" topLeftCell="A9">
      <selection activeCell="J20" sqref="J20"/>
      <pageMargins left="0.7" right="0.7" top="0.75" bottom="0.75" header="0.3" footer="0.3"/>
      <pageSetup paperSize="9" orientation="landscape" r:id="rId4"/>
    </customSheetView>
  </customSheetViews>
  <mergeCells count="40">
    <mergeCell ref="H4:H5"/>
    <mergeCell ref="J4:J5"/>
    <mergeCell ref="K4:K5"/>
    <mergeCell ref="L4:L5"/>
    <mergeCell ref="B2:L2"/>
    <mergeCell ref="I4:I5"/>
    <mergeCell ref="G4:G5"/>
    <mergeCell ref="B32:G32"/>
    <mergeCell ref="B15:F15"/>
    <mergeCell ref="B16:E16"/>
    <mergeCell ref="B19:G19"/>
    <mergeCell ref="B20:G20"/>
    <mergeCell ref="B21:G21"/>
    <mergeCell ref="B22:G22"/>
    <mergeCell ref="B24:G24"/>
    <mergeCell ref="B25:G25"/>
    <mergeCell ref="B26:G26"/>
    <mergeCell ref="B28:G28"/>
    <mergeCell ref="B29:G29"/>
    <mergeCell ref="B31:G31"/>
    <mergeCell ref="B14:F14"/>
    <mergeCell ref="B10:F10"/>
    <mergeCell ref="B11:F11"/>
    <mergeCell ref="B4:F6"/>
    <mergeCell ref="B7:F7"/>
    <mergeCell ref="B12:F12"/>
    <mergeCell ref="B8:F8"/>
    <mergeCell ref="B9:F9"/>
    <mergeCell ref="B13:F13"/>
    <mergeCell ref="J19:K19"/>
    <mergeCell ref="J20:K20"/>
    <mergeCell ref="J21:K21"/>
    <mergeCell ref="J22:K22"/>
    <mergeCell ref="J24:K24"/>
    <mergeCell ref="J32:K32"/>
    <mergeCell ref="J25:K25"/>
    <mergeCell ref="J26:K26"/>
    <mergeCell ref="J28:K28"/>
    <mergeCell ref="J29:K29"/>
    <mergeCell ref="J31:K31"/>
  </mergeCells>
  <pageMargins left="0.7" right="0.7" top="0.75" bottom="0.75" header="0.3" footer="0.3"/>
  <pageSetup paperSize="9" orientation="landscape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0"/>
  <sheetViews>
    <sheetView zoomScale="80" zoomScaleNormal="80" workbookViewId="0">
      <selection activeCell="C24" sqref="C24"/>
    </sheetView>
  </sheetViews>
  <sheetFormatPr defaultRowHeight="15" x14ac:dyDescent="0.25"/>
  <cols>
    <col min="1" max="1" width="2.42578125" customWidth="1"/>
    <col min="2" max="2" width="64.140625" customWidth="1"/>
    <col min="3" max="3" width="71.5703125" customWidth="1"/>
    <col min="4" max="5" width="12.7109375" customWidth="1"/>
    <col min="6" max="6" width="12.7109375" style="3" customWidth="1"/>
    <col min="7" max="10" width="12.7109375" customWidth="1"/>
    <col min="11" max="11" width="14.28515625" customWidth="1"/>
    <col min="12" max="15" width="12.7109375" customWidth="1"/>
    <col min="16" max="16" width="13" customWidth="1"/>
  </cols>
  <sheetData>
    <row r="1" spans="1:23" x14ac:dyDescent="0.25">
      <c r="B1" s="180" t="s">
        <v>18</v>
      </c>
      <c r="C1" s="180"/>
      <c r="D1" s="180"/>
      <c r="E1" s="180"/>
      <c r="F1" s="180"/>
      <c r="G1" s="180"/>
      <c r="H1" s="180"/>
      <c r="I1" s="180"/>
    </row>
    <row r="3" spans="1:23" x14ac:dyDescent="0.25">
      <c r="A3" s="6"/>
      <c r="C3" s="1">
        <v>1</v>
      </c>
      <c r="D3" s="1">
        <v>2</v>
      </c>
      <c r="E3" s="1">
        <v>3</v>
      </c>
      <c r="F3" s="1">
        <v>4</v>
      </c>
      <c r="G3" s="1">
        <v>5</v>
      </c>
      <c r="H3" s="1">
        <v>6</v>
      </c>
      <c r="I3" s="1">
        <v>7</v>
      </c>
      <c r="J3" s="1">
        <v>8</v>
      </c>
      <c r="K3" s="1">
        <v>9</v>
      </c>
      <c r="L3" s="1">
        <v>10</v>
      </c>
      <c r="M3" s="1">
        <v>11</v>
      </c>
      <c r="N3" s="123">
        <v>12</v>
      </c>
      <c r="O3" s="1">
        <v>13</v>
      </c>
      <c r="P3" s="1">
        <v>14</v>
      </c>
      <c r="Q3" s="1">
        <v>15</v>
      </c>
    </row>
    <row r="4" spans="1:23" ht="18" x14ac:dyDescent="0.3">
      <c r="A4" s="6"/>
      <c r="B4" s="6"/>
      <c r="C4" s="6"/>
      <c r="D4" s="6" t="s">
        <v>19</v>
      </c>
      <c r="E4" s="6" t="s">
        <v>20</v>
      </c>
      <c r="F4" s="6" t="s">
        <v>137</v>
      </c>
      <c r="G4" s="6" t="s">
        <v>21</v>
      </c>
      <c r="H4" s="6" t="s">
        <v>22</v>
      </c>
      <c r="I4" s="6" t="s">
        <v>23</v>
      </c>
      <c r="J4" s="16" t="s">
        <v>24</v>
      </c>
      <c r="K4" s="16" t="s">
        <v>147</v>
      </c>
      <c r="L4" s="16" t="s">
        <v>25</v>
      </c>
      <c r="M4" s="16" t="s">
        <v>26</v>
      </c>
      <c r="N4" s="124" t="s">
        <v>152</v>
      </c>
      <c r="O4" s="16" t="s">
        <v>45</v>
      </c>
      <c r="P4" s="15" t="s">
        <v>46</v>
      </c>
      <c r="Q4" s="138" t="s">
        <v>160</v>
      </c>
      <c r="V4" s="36" t="s">
        <v>74</v>
      </c>
      <c r="W4" s="37">
        <f>'FOGLIO DEPOSITO'!H85</f>
        <v>1</v>
      </c>
    </row>
    <row r="5" spans="1:23" s="102" customFormat="1" x14ac:dyDescent="0.25">
      <c r="B5" s="116">
        <v>1</v>
      </c>
      <c r="C5" s="115" t="s">
        <v>27</v>
      </c>
      <c r="D5" s="117">
        <f>(100+200)/2</f>
        <v>150</v>
      </c>
      <c r="E5" s="117">
        <f>(1.8+3.2)/2</f>
        <v>2.5</v>
      </c>
      <c r="F5" s="117" t="str">
        <f>"--"</f>
        <v>--</v>
      </c>
      <c r="G5" s="117">
        <f>(690+1050)/2</f>
        <v>870</v>
      </c>
      <c r="H5" s="117">
        <f>(230+350)/2</f>
        <v>290</v>
      </c>
      <c r="I5" s="117">
        <v>19</v>
      </c>
      <c r="J5" s="118">
        <v>1.5</v>
      </c>
      <c r="K5" s="118">
        <v>1.6</v>
      </c>
      <c r="L5" s="118">
        <v>1.3</v>
      </c>
      <c r="M5" s="118">
        <v>1.5</v>
      </c>
      <c r="N5" s="125">
        <v>1.5</v>
      </c>
      <c r="O5" s="118">
        <v>2</v>
      </c>
      <c r="P5" s="118">
        <v>2.5</v>
      </c>
      <c r="Q5" s="109">
        <v>3.5</v>
      </c>
      <c r="R5" s="119"/>
      <c r="S5" s="119"/>
      <c r="T5" s="119"/>
      <c r="U5" s="119"/>
      <c r="V5" s="120"/>
      <c r="W5" s="76"/>
    </row>
    <row r="6" spans="1:23" s="102" customFormat="1" x14ac:dyDescent="0.25">
      <c r="B6" s="116">
        <v>2</v>
      </c>
      <c r="C6" s="115" t="s">
        <v>134</v>
      </c>
      <c r="D6" s="117">
        <v>200</v>
      </c>
      <c r="E6" s="117">
        <f>(3.5+5.1)/2</f>
        <v>4.3</v>
      </c>
      <c r="F6" s="117" t="str">
        <f>"--"</f>
        <v>--</v>
      </c>
      <c r="G6" s="117">
        <f>(1020+1440)/2</f>
        <v>1230</v>
      </c>
      <c r="H6" s="117">
        <f>(340+480)/2</f>
        <v>410</v>
      </c>
      <c r="I6" s="117">
        <v>20</v>
      </c>
      <c r="J6" s="118">
        <v>1.4</v>
      </c>
      <c r="K6" s="118">
        <v>1.5</v>
      </c>
      <c r="L6" s="118">
        <v>1.2</v>
      </c>
      <c r="M6" s="118">
        <v>1.5</v>
      </c>
      <c r="N6" s="125">
        <v>1.4</v>
      </c>
      <c r="O6" s="118">
        <v>1.7</v>
      </c>
      <c r="P6" s="118">
        <v>2</v>
      </c>
      <c r="Q6" s="109">
        <v>3</v>
      </c>
      <c r="R6" s="119"/>
      <c r="S6" s="119"/>
      <c r="T6" s="119"/>
      <c r="U6" s="119"/>
      <c r="V6" s="121" t="s">
        <v>74</v>
      </c>
      <c r="W6" s="76">
        <f>'FOGLIO DEPOSITO'!H86</f>
        <v>1</v>
      </c>
    </row>
    <row r="7" spans="1:23" s="102" customFormat="1" x14ac:dyDescent="0.25">
      <c r="B7" s="116">
        <v>3</v>
      </c>
      <c r="C7" s="115" t="s">
        <v>28</v>
      </c>
      <c r="D7" s="117">
        <f>(260+380)/2</f>
        <v>320</v>
      </c>
      <c r="E7" s="117">
        <f>(5.6+7.4)/2</f>
        <v>6.5</v>
      </c>
      <c r="F7" s="117" t="str">
        <f>"--"</f>
        <v>--</v>
      </c>
      <c r="G7" s="117">
        <f>(1500+1980)/2</f>
        <v>1740</v>
      </c>
      <c r="H7" s="117">
        <f>(500+660)/2</f>
        <v>580</v>
      </c>
      <c r="I7" s="117">
        <v>21</v>
      </c>
      <c r="J7" s="118">
        <v>1.3</v>
      </c>
      <c r="K7" s="118">
        <v>1.4</v>
      </c>
      <c r="L7" s="118">
        <v>1.1000000000000001</v>
      </c>
      <c r="M7" s="118">
        <v>1.3</v>
      </c>
      <c r="N7" s="125">
        <v>1.3</v>
      </c>
      <c r="O7" s="118">
        <v>1.5</v>
      </c>
      <c r="P7" s="118">
        <v>1.5</v>
      </c>
      <c r="Q7" s="109">
        <v>2.4</v>
      </c>
      <c r="R7" s="119"/>
      <c r="S7" s="119"/>
      <c r="T7" s="119"/>
      <c r="U7" s="119"/>
      <c r="V7" s="120"/>
      <c r="W7" s="76"/>
    </row>
    <row r="8" spans="1:23" s="102" customFormat="1" x14ac:dyDescent="0.25">
      <c r="B8" s="116">
        <v>4</v>
      </c>
      <c r="C8" s="115" t="s">
        <v>135</v>
      </c>
      <c r="D8" s="117">
        <f>(140+220)/2</f>
        <v>180</v>
      </c>
      <c r="E8" s="117">
        <f>(2.8+4.2)/2</f>
        <v>3.5</v>
      </c>
      <c r="F8" s="117" t="str">
        <f>"--"</f>
        <v>--</v>
      </c>
      <c r="G8" s="117">
        <f>(900+1260)/2</f>
        <v>1080</v>
      </c>
      <c r="H8" s="117">
        <f>(300+420)/2</f>
        <v>360</v>
      </c>
      <c r="I8" s="117">
        <v>16</v>
      </c>
      <c r="J8" s="118">
        <v>1.5</v>
      </c>
      <c r="K8" s="118">
        <v>1.1000000000000001</v>
      </c>
      <c r="L8" s="118">
        <v>1.2</v>
      </c>
      <c r="M8" s="118">
        <v>1.3</v>
      </c>
      <c r="N8" s="125">
        <v>1.5</v>
      </c>
      <c r="O8" s="118">
        <v>1.4</v>
      </c>
      <c r="P8" s="118">
        <v>1.7</v>
      </c>
      <c r="Q8" s="109">
        <v>2</v>
      </c>
      <c r="R8" s="119"/>
      <c r="S8" s="119"/>
      <c r="T8" s="119"/>
      <c r="U8" s="119"/>
      <c r="V8" s="121" t="s">
        <v>74</v>
      </c>
      <c r="W8" s="76">
        <f>'FOGLIO DEPOSITO'!H87</f>
        <v>1</v>
      </c>
    </row>
    <row r="9" spans="1:23" s="102" customFormat="1" x14ac:dyDescent="0.25">
      <c r="B9" s="116">
        <v>5</v>
      </c>
      <c r="C9" s="115" t="s">
        <v>136</v>
      </c>
      <c r="D9" s="117">
        <f>(200+320)/2</f>
        <v>260</v>
      </c>
      <c r="E9" s="117">
        <f>(4+8)/2</f>
        <v>6</v>
      </c>
      <c r="F9" s="117">
        <f>(10+19)/2</f>
        <v>14.5</v>
      </c>
      <c r="G9" s="117">
        <f>(1200+1620)/2</f>
        <v>1410</v>
      </c>
      <c r="H9" s="117">
        <f>(400+500)/2</f>
        <v>450</v>
      </c>
      <c r="I9" s="117">
        <v>16</v>
      </c>
      <c r="J9" s="118">
        <v>1.6</v>
      </c>
      <c r="K9" s="118">
        <v>1.2</v>
      </c>
      <c r="L9" s="118">
        <v>1</v>
      </c>
      <c r="M9" s="118">
        <v>1.2</v>
      </c>
      <c r="N9" s="125">
        <v>1.6</v>
      </c>
      <c r="O9" s="118">
        <v>1.2</v>
      </c>
      <c r="P9" s="118">
        <v>1.5</v>
      </c>
      <c r="Q9" s="109">
        <v>1.8</v>
      </c>
      <c r="R9" s="119"/>
      <c r="S9" s="119"/>
      <c r="T9" s="119"/>
      <c r="U9" s="119"/>
      <c r="V9" s="120"/>
      <c r="W9" s="76"/>
    </row>
    <row r="10" spans="1:23" s="102" customFormat="1" x14ac:dyDescent="0.25">
      <c r="B10" s="116">
        <v>6</v>
      </c>
      <c r="C10" s="115" t="s">
        <v>138</v>
      </c>
      <c r="D10" s="117">
        <f>(580+820)/2</f>
        <v>700</v>
      </c>
      <c r="E10" s="117">
        <f>(9+12)/2</f>
        <v>10.5</v>
      </c>
      <c r="F10" s="117">
        <f>(18+28)/2</f>
        <v>23</v>
      </c>
      <c r="G10" s="117">
        <f>(2400+3300)/2</f>
        <v>2850</v>
      </c>
      <c r="H10" s="117">
        <f>(800+1100)/2</f>
        <v>950</v>
      </c>
      <c r="I10" s="117">
        <v>22</v>
      </c>
      <c r="J10" s="118">
        <v>1.2</v>
      </c>
      <c r="K10" s="118">
        <v>1</v>
      </c>
      <c r="L10" s="118">
        <v>1</v>
      </c>
      <c r="M10" s="118">
        <v>1.2</v>
      </c>
      <c r="N10" s="125">
        <v>1.2</v>
      </c>
      <c r="O10" s="118">
        <v>1.2</v>
      </c>
      <c r="P10" s="118">
        <v>1.2</v>
      </c>
      <c r="Q10" s="109">
        <v>1.4</v>
      </c>
      <c r="R10" s="119"/>
      <c r="S10" s="119"/>
      <c r="T10" s="119"/>
      <c r="U10" s="119"/>
      <c r="V10" s="121" t="s">
        <v>74</v>
      </c>
      <c r="W10" s="76">
        <f>'FOGLIO DEPOSITO'!H88</f>
        <v>1</v>
      </c>
    </row>
    <row r="11" spans="1:23" s="102" customFormat="1" x14ac:dyDescent="0.25">
      <c r="B11" s="116">
        <v>7</v>
      </c>
      <c r="C11" s="115" t="s">
        <v>29</v>
      </c>
      <c r="D11" s="117">
        <f>(260+430)/2</f>
        <v>345</v>
      </c>
      <c r="E11" s="117">
        <f>(5+13)/2</f>
        <v>9</v>
      </c>
      <c r="F11" s="117">
        <f>(13+27)/2</f>
        <v>20</v>
      </c>
      <c r="G11" s="117">
        <f>(1200+1800)/2</f>
        <v>1500</v>
      </c>
      <c r="H11" s="117">
        <f>(400+600)/2</f>
        <v>500</v>
      </c>
      <c r="I11" s="117">
        <v>18</v>
      </c>
      <c r="J11" s="118">
        <v>1</v>
      </c>
      <c r="K11" s="118">
        <v>1.2</v>
      </c>
      <c r="L11" s="118">
        <v>1</v>
      </c>
      <c r="M11" s="118">
        <v>1.3</v>
      </c>
      <c r="N11" s="125">
        <v>1</v>
      </c>
      <c r="O11" s="118">
        <v>1.2</v>
      </c>
      <c r="P11" s="118">
        <v>1.5</v>
      </c>
      <c r="Q11" s="109">
        <v>1.8</v>
      </c>
      <c r="R11" s="119"/>
      <c r="S11" s="119"/>
      <c r="T11" s="119"/>
      <c r="U11" s="119"/>
      <c r="V11" s="120"/>
      <c r="W11" s="76"/>
    </row>
    <row r="12" spans="1:23" s="102" customFormat="1" x14ac:dyDescent="0.25">
      <c r="B12" s="116">
        <v>8</v>
      </c>
      <c r="C12" s="115" t="s">
        <v>139</v>
      </c>
      <c r="D12" s="117">
        <f>(500+800)/2</f>
        <v>650</v>
      </c>
      <c r="E12" s="117">
        <f>(8+17)/2</f>
        <v>12.5</v>
      </c>
      <c r="F12" s="117">
        <f>(20+36)/2</f>
        <v>28</v>
      </c>
      <c r="G12" s="117">
        <f>(3500+5600)/2</f>
        <v>4550</v>
      </c>
      <c r="H12" s="117">
        <f>(875+1400)/2</f>
        <v>1137.5</v>
      </c>
      <c r="I12" s="117">
        <v>15</v>
      </c>
      <c r="J12" s="118">
        <v>1.2</v>
      </c>
      <c r="K12" s="118">
        <v>1</v>
      </c>
      <c r="L12" s="118">
        <v>1</v>
      </c>
      <c r="M12" s="118">
        <v>1</v>
      </c>
      <c r="N12" s="125">
        <v>1.2</v>
      </c>
      <c r="O12" s="118">
        <v>1</v>
      </c>
      <c r="P12" s="118">
        <v>1.3</v>
      </c>
      <c r="Q12" s="109">
        <v>1.3</v>
      </c>
      <c r="R12" s="119"/>
      <c r="S12" s="119"/>
      <c r="T12" s="119"/>
      <c r="U12" s="119"/>
      <c r="V12" s="121" t="s">
        <v>74</v>
      </c>
      <c r="W12" s="76">
        <f>'FOGLIO DEPOSITO'!H89</f>
        <v>1</v>
      </c>
    </row>
    <row r="13" spans="1:23" s="102" customFormat="1" x14ac:dyDescent="0.25">
      <c r="B13" s="103">
        <v>9</v>
      </c>
      <c r="C13" s="104" t="s">
        <v>27</v>
      </c>
      <c r="D13" s="105">
        <v>100</v>
      </c>
      <c r="E13" s="105">
        <v>1.8</v>
      </c>
      <c r="F13" s="105"/>
      <c r="G13" s="105">
        <f>(690+1050)/2</f>
        <v>870</v>
      </c>
      <c r="H13" s="105">
        <f>(230+350)/2</f>
        <v>290</v>
      </c>
      <c r="I13" s="105">
        <v>19</v>
      </c>
      <c r="J13" s="106">
        <v>1.5</v>
      </c>
      <c r="K13" s="106">
        <v>1.6</v>
      </c>
      <c r="L13" s="106">
        <v>1.3</v>
      </c>
      <c r="M13" s="106">
        <v>1.5</v>
      </c>
      <c r="N13" s="125">
        <v>1.5</v>
      </c>
      <c r="O13" s="106">
        <v>2</v>
      </c>
      <c r="P13" s="106">
        <v>2.5</v>
      </c>
      <c r="Q13" s="109">
        <v>3.5</v>
      </c>
      <c r="V13" s="108" t="s">
        <v>74</v>
      </c>
      <c r="W13" s="107">
        <f>'FOGLIO DEPOSITO'!H91</f>
        <v>1</v>
      </c>
    </row>
    <row r="14" spans="1:23" s="102" customFormat="1" x14ac:dyDescent="0.25">
      <c r="B14" s="103">
        <v>10</v>
      </c>
      <c r="C14" s="104" t="s">
        <v>134</v>
      </c>
      <c r="D14" s="105">
        <v>200</v>
      </c>
      <c r="E14" s="105">
        <v>3.5</v>
      </c>
      <c r="F14" s="105"/>
      <c r="G14" s="105">
        <f>(1020+1440)/2</f>
        <v>1230</v>
      </c>
      <c r="H14" s="105">
        <f>(340+480)/2</f>
        <v>410</v>
      </c>
      <c r="I14" s="105">
        <v>20</v>
      </c>
      <c r="J14" s="106">
        <v>1.4</v>
      </c>
      <c r="K14" s="106">
        <v>1.5</v>
      </c>
      <c r="L14" s="106">
        <v>1.2</v>
      </c>
      <c r="M14" s="106">
        <v>1.5</v>
      </c>
      <c r="N14" s="125">
        <v>1.4</v>
      </c>
      <c r="O14" s="106">
        <v>1.7</v>
      </c>
      <c r="P14" s="106">
        <v>2</v>
      </c>
      <c r="Q14" s="109">
        <v>3</v>
      </c>
    </row>
    <row r="15" spans="1:23" s="102" customFormat="1" x14ac:dyDescent="0.25">
      <c r="B15" s="103">
        <v>11</v>
      </c>
      <c r="C15" s="104" t="s">
        <v>28</v>
      </c>
      <c r="D15" s="105">
        <v>260</v>
      </c>
      <c r="E15" s="105">
        <v>5.6</v>
      </c>
      <c r="F15" s="105"/>
      <c r="G15" s="105">
        <f>(1500+1980)/2</f>
        <v>1740</v>
      </c>
      <c r="H15" s="105">
        <f>(500+660)/2</f>
        <v>580</v>
      </c>
      <c r="I15" s="105">
        <v>21</v>
      </c>
      <c r="J15" s="106">
        <v>1.3</v>
      </c>
      <c r="K15" s="106">
        <v>1.4</v>
      </c>
      <c r="L15" s="106">
        <v>1.1000000000000001</v>
      </c>
      <c r="M15" s="106">
        <v>1.3</v>
      </c>
      <c r="N15" s="125">
        <v>1.3</v>
      </c>
      <c r="O15" s="106">
        <v>1.5</v>
      </c>
      <c r="P15" s="106">
        <v>1.5</v>
      </c>
      <c r="Q15" s="109">
        <v>2.4</v>
      </c>
    </row>
    <row r="16" spans="1:23" s="102" customFormat="1" x14ac:dyDescent="0.25">
      <c r="B16" s="103">
        <v>12</v>
      </c>
      <c r="C16" s="104" t="s">
        <v>135</v>
      </c>
      <c r="D16" s="105">
        <v>140</v>
      </c>
      <c r="E16" s="105">
        <v>2.8</v>
      </c>
      <c r="F16" s="105"/>
      <c r="G16" s="105">
        <f>(900+1260)/2</f>
        <v>1080</v>
      </c>
      <c r="H16" s="105">
        <f>(300+420)/2</f>
        <v>360</v>
      </c>
      <c r="I16" s="105">
        <f>(13+16)/2</f>
        <v>14.5</v>
      </c>
      <c r="J16" s="106">
        <v>1.5</v>
      </c>
      <c r="K16" s="106">
        <v>1.1000000000000001</v>
      </c>
      <c r="L16" s="106">
        <v>1.2</v>
      </c>
      <c r="M16" s="106">
        <v>1.3</v>
      </c>
      <c r="N16" s="125">
        <v>1.5</v>
      </c>
      <c r="O16" s="106">
        <v>1.4</v>
      </c>
      <c r="P16" s="106">
        <v>1.7</v>
      </c>
      <c r="Q16" s="109">
        <v>2</v>
      </c>
    </row>
    <row r="17" spans="2:17" s="102" customFormat="1" x14ac:dyDescent="0.25">
      <c r="B17" s="103">
        <v>13</v>
      </c>
      <c r="C17" s="104" t="s">
        <v>136</v>
      </c>
      <c r="D17" s="105">
        <v>200</v>
      </c>
      <c r="E17" s="105">
        <v>4</v>
      </c>
      <c r="F17" s="105">
        <v>10</v>
      </c>
      <c r="G17" s="105">
        <f>(1200+1620)/2</f>
        <v>1410</v>
      </c>
      <c r="H17" s="105">
        <f>(400+500)/2</f>
        <v>450</v>
      </c>
      <c r="I17" s="105">
        <f>(13+16)/2</f>
        <v>14.5</v>
      </c>
      <c r="J17" s="106">
        <v>1.6</v>
      </c>
      <c r="K17" s="106">
        <v>1.2</v>
      </c>
      <c r="L17" s="106">
        <v>1</v>
      </c>
      <c r="M17" s="106">
        <v>1.2</v>
      </c>
      <c r="N17" s="125">
        <v>1.6</v>
      </c>
      <c r="O17" s="106">
        <v>1.2</v>
      </c>
      <c r="P17" s="106">
        <v>1.5</v>
      </c>
      <c r="Q17" s="109">
        <v>1.8</v>
      </c>
    </row>
    <row r="18" spans="2:17" s="102" customFormat="1" x14ac:dyDescent="0.25">
      <c r="B18" s="103">
        <v>14</v>
      </c>
      <c r="C18" s="104" t="s">
        <v>138</v>
      </c>
      <c r="D18" s="105">
        <v>580</v>
      </c>
      <c r="E18" s="105">
        <v>9</v>
      </c>
      <c r="F18" s="105">
        <v>18</v>
      </c>
      <c r="G18" s="105">
        <f>(2400+3300)/2</f>
        <v>2850</v>
      </c>
      <c r="H18" s="105">
        <f>(800+1100)/2</f>
        <v>950</v>
      </c>
      <c r="I18" s="105">
        <v>22</v>
      </c>
      <c r="J18" s="106">
        <v>1.2</v>
      </c>
      <c r="K18" s="106">
        <v>1</v>
      </c>
      <c r="L18" s="106">
        <v>1</v>
      </c>
      <c r="M18" s="106">
        <v>1.2</v>
      </c>
      <c r="N18" s="125">
        <v>1.2</v>
      </c>
      <c r="O18" s="106">
        <v>1.2</v>
      </c>
      <c r="P18" s="106">
        <v>1.2</v>
      </c>
      <c r="Q18" s="109">
        <v>1.4</v>
      </c>
    </row>
    <row r="19" spans="2:17" s="102" customFormat="1" x14ac:dyDescent="0.25">
      <c r="B19" s="103">
        <v>15</v>
      </c>
      <c r="C19" s="104" t="s">
        <v>29</v>
      </c>
      <c r="D19" s="105">
        <v>260</v>
      </c>
      <c r="E19" s="105">
        <v>5</v>
      </c>
      <c r="F19" s="105">
        <v>13</v>
      </c>
      <c r="G19" s="105">
        <f>(1200+1800)/2</f>
        <v>1500</v>
      </c>
      <c r="H19" s="105">
        <f>(400+600)/2</f>
        <v>500</v>
      </c>
      <c r="I19" s="105">
        <v>18</v>
      </c>
      <c r="J19" s="106">
        <v>1</v>
      </c>
      <c r="K19" s="106">
        <v>1.2</v>
      </c>
      <c r="L19" s="106">
        <v>1</v>
      </c>
      <c r="M19" s="106">
        <v>1.3</v>
      </c>
      <c r="N19" s="125">
        <v>1</v>
      </c>
      <c r="O19" s="106">
        <v>1.2</v>
      </c>
      <c r="P19" s="106">
        <v>1.5</v>
      </c>
      <c r="Q19" s="109">
        <v>1.8</v>
      </c>
    </row>
    <row r="20" spans="2:17" s="102" customFormat="1" x14ac:dyDescent="0.25">
      <c r="B20" s="103">
        <v>16</v>
      </c>
      <c r="C20" s="104" t="s">
        <v>139</v>
      </c>
      <c r="D20" s="105">
        <v>500</v>
      </c>
      <c r="E20" s="105">
        <v>8</v>
      </c>
      <c r="F20" s="105">
        <v>20</v>
      </c>
      <c r="G20" s="105">
        <f>(3500+5600)/2</f>
        <v>4550</v>
      </c>
      <c r="H20" s="105">
        <f>(875+1400)/2</f>
        <v>1137.5</v>
      </c>
      <c r="I20" s="105">
        <v>15</v>
      </c>
      <c r="J20" s="106">
        <v>1.2</v>
      </c>
      <c r="K20" s="106">
        <v>1</v>
      </c>
      <c r="L20" s="106">
        <v>1</v>
      </c>
      <c r="M20" s="106">
        <v>1</v>
      </c>
      <c r="N20" s="125">
        <v>1.2</v>
      </c>
      <c r="O20" s="106">
        <v>1</v>
      </c>
      <c r="P20" s="106">
        <v>1.3</v>
      </c>
      <c r="Q20" s="109">
        <v>1.3</v>
      </c>
    </row>
    <row r="26" spans="2:17" x14ac:dyDescent="0.25">
      <c r="B26" s="7" t="str">
        <f t="shared" ref="B26:B33" si="0">C5</f>
        <v xml:space="preserve">Muratura in pietrame disordinata </v>
      </c>
      <c r="C26" s="6">
        <v>1</v>
      </c>
      <c r="D26" s="8">
        <v>2</v>
      </c>
      <c r="G26" t="s">
        <v>43</v>
      </c>
    </row>
    <row r="27" spans="2:17" x14ac:dyDescent="0.25">
      <c r="B27" s="7" t="str">
        <f t="shared" si="0"/>
        <v>Muratura a conci sbozzati, con paramenti di limitato spessore disomogeneo</v>
      </c>
      <c r="C27" s="6">
        <v>1</v>
      </c>
      <c r="D27" s="6">
        <v>2</v>
      </c>
      <c r="G27" t="s">
        <v>44</v>
      </c>
      <c r="J27" s="17">
        <f>IF('FOGLIO DEPOSITO'!$D$39=1,VLOOKUP('FOGLIO DEPOSITO'!$B$82,'FOGLIO DEPOSITO'!$C$5:$P$12,'FOGLIO DEPOSITO'!J3,FALSE),VLOOKUP('FOGLIO DEPOSITO'!$B$82,'FOGLIO DEPOSITO'!$C$13:$P$20,'FOGLIO DEPOSITO'!J3,FALSE))</f>
        <v>1.5</v>
      </c>
      <c r="K27" s="14" t="s">
        <v>24</v>
      </c>
    </row>
    <row r="28" spans="2:17" x14ac:dyDescent="0.25">
      <c r="B28" s="7" t="str">
        <f t="shared" si="0"/>
        <v xml:space="preserve">Muratura in pietre a spacco con buona tessitura </v>
      </c>
      <c r="C28" s="6">
        <v>1</v>
      </c>
      <c r="D28" s="6">
        <v>2</v>
      </c>
      <c r="J28" s="17"/>
      <c r="K28" s="3"/>
    </row>
    <row r="29" spans="2:17" x14ac:dyDescent="0.25">
      <c r="B29" s="7" t="str">
        <f t="shared" si="0"/>
        <v xml:space="preserve">Muratura irregolare di pietra tenera </v>
      </c>
      <c r="C29" s="6">
        <v>1</v>
      </c>
      <c r="D29" s="6">
        <v>2</v>
      </c>
      <c r="G29" s="1" t="s">
        <v>47</v>
      </c>
      <c r="H29" s="1">
        <v>2</v>
      </c>
      <c r="J29" s="17">
        <f>IF('FOGLIO DEPOSITO'!$D$39=1,VLOOKUP('FOGLIO DEPOSITO'!$B$82,'FOGLIO DEPOSITO'!$C$5:$P$12,'FOGLIO DEPOSITO'!K3,FALSE),VLOOKUP('FOGLIO DEPOSITO'!$B$82,'FOGLIO DEPOSITO'!$C$13:$P$20,'FOGLIO DEPOSITO'!K3,FALSE))</f>
        <v>1.6</v>
      </c>
      <c r="K29" s="14" t="s">
        <v>147</v>
      </c>
    </row>
    <row r="30" spans="2:17" x14ac:dyDescent="0.25">
      <c r="B30" s="7" t="str">
        <f t="shared" si="0"/>
        <v>Muratura a conci regolari di pietra tenera</v>
      </c>
      <c r="C30" s="6">
        <v>1</v>
      </c>
      <c r="D30" s="6">
        <v>2</v>
      </c>
      <c r="G30" s="1" t="s">
        <v>48</v>
      </c>
      <c r="H30" s="1">
        <v>1</v>
      </c>
      <c r="J30" s="17"/>
      <c r="K30" s="3"/>
    </row>
    <row r="31" spans="2:17" x14ac:dyDescent="0.25">
      <c r="B31" s="7" t="str">
        <f t="shared" si="0"/>
        <v>Muratura a blocchi lapidei squadrati</v>
      </c>
      <c r="C31" s="6">
        <v>1</v>
      </c>
      <c r="D31" s="6">
        <v>2</v>
      </c>
      <c r="G31" s="1" t="s">
        <v>132</v>
      </c>
      <c r="H31" s="1">
        <f>DATI!F46</f>
        <v>3</v>
      </c>
      <c r="J31" s="17">
        <f>IF('FOGLIO DEPOSITO'!$D$39=1,VLOOKUP('FOGLIO DEPOSITO'!$B$82,'FOGLIO DEPOSITO'!$C$5:$P$12,'FOGLIO DEPOSITO'!L3,FALSE),VLOOKUP('FOGLIO DEPOSITO'!$B$82,'FOGLIO DEPOSITO'!$C$13:$P$20,'FOGLIO DEPOSITO'!L3,FALSE))</f>
        <v>1.3</v>
      </c>
      <c r="K31" s="14" t="s">
        <v>41</v>
      </c>
    </row>
    <row r="32" spans="2:17" x14ac:dyDescent="0.25">
      <c r="B32" s="7" t="str">
        <f t="shared" si="0"/>
        <v>Muratura in mattoni pieni e malta di calce</v>
      </c>
      <c r="C32" s="6">
        <v>1</v>
      </c>
      <c r="D32" s="6">
        <v>2</v>
      </c>
      <c r="J32" s="17"/>
      <c r="K32" s="3"/>
    </row>
    <row r="33" spans="2:12" x14ac:dyDescent="0.25">
      <c r="B33" s="7" t="str">
        <f t="shared" si="0"/>
        <v>Muratura in mattoni semipieni con malta cementizia (doppio UNI foratura&lt;40%)</v>
      </c>
      <c r="C33" s="6">
        <v>1</v>
      </c>
      <c r="D33" s="6">
        <v>2</v>
      </c>
      <c r="J33" s="17">
        <f>IF('FOGLIO DEPOSITO'!$D$39=1,VLOOKUP('FOGLIO DEPOSITO'!$B$82,'FOGLIO DEPOSITO'!$C$5:$P$12,'FOGLIO DEPOSITO'!M3,FALSE),VLOOKUP('FOGLIO DEPOSITO'!$B$82,'FOGLIO DEPOSITO'!$C$13:$P$20,'FOGLIO DEPOSITO'!M3,FALSE))</f>
        <v>1.5</v>
      </c>
      <c r="K33" s="14" t="s">
        <v>40</v>
      </c>
    </row>
    <row r="34" spans="2:12" x14ac:dyDescent="0.25">
      <c r="B34" s="7"/>
      <c r="C34" s="6"/>
      <c r="D34" s="6"/>
      <c r="J34" s="17"/>
      <c r="K34" s="3"/>
    </row>
    <row r="35" spans="2:12" x14ac:dyDescent="0.25">
      <c r="B35" s="7"/>
      <c r="C35" s="6"/>
      <c r="D35" s="6"/>
      <c r="J35" s="126">
        <f>IF('FOGLIO DEPOSITO'!$D$39=1,VLOOKUP('FOGLIO DEPOSITO'!$B$82,'FOGLIO DEPOSITO'!$C$5:$P$12,'FOGLIO DEPOSITO'!N3,FALSE),VLOOKUP('FOGLIO DEPOSITO'!$B$82,'FOGLIO DEPOSITO'!$C$13:$P$20,'FOGLIO DEPOSITO'!N3,FALSE))</f>
        <v>1.5</v>
      </c>
      <c r="K35" s="127" t="s">
        <v>154</v>
      </c>
      <c r="L35" s="128"/>
    </row>
    <row r="36" spans="2:12" x14ac:dyDescent="0.25">
      <c r="B36" s="7"/>
      <c r="C36" s="6"/>
      <c r="D36" s="6"/>
      <c r="J36" s="17"/>
      <c r="K36" s="3"/>
    </row>
    <row r="37" spans="2:12" x14ac:dyDescent="0.25">
      <c r="J37" s="17">
        <f>IF('FOGLIO DEPOSITO'!$D$39=1,VLOOKUP('FOGLIO DEPOSITO'!$B$82,'FOGLIO DEPOSITO'!$C$5:$P$12,'FOGLIO DEPOSITO'!O3,FALSE),VLOOKUP('FOGLIO DEPOSITO'!$B$82,'FOGLIO DEPOSITO'!$C$13:$P$20,'FOGLIO DEPOSITO'!O3,FALSE))</f>
        <v>2</v>
      </c>
      <c r="K37" s="3" t="s">
        <v>42</v>
      </c>
    </row>
    <row r="38" spans="2:12" x14ac:dyDescent="0.25">
      <c r="J38" s="17"/>
      <c r="K38" s="3"/>
    </row>
    <row r="39" spans="2:12" x14ac:dyDescent="0.25">
      <c r="B39" s="11" t="s">
        <v>38</v>
      </c>
      <c r="C39" s="12">
        <v>1.35</v>
      </c>
      <c r="D39" s="13">
        <f>IF(DATI!F15="LC1",2,1)</f>
        <v>2</v>
      </c>
      <c r="J39" s="17">
        <f>IF('FOGLIO DEPOSITO'!$D$39=1,VLOOKUP('FOGLIO DEPOSITO'!$B$82,'FOGLIO DEPOSITO'!$C$5:$P$12,'FOGLIO DEPOSITO'!P3,FALSE),VLOOKUP('FOGLIO DEPOSITO'!$B$82,'FOGLIO DEPOSITO'!$C$13:$P$20,'FOGLIO DEPOSITO'!P3,FALSE))</f>
        <v>2.5</v>
      </c>
      <c r="K39" s="3" t="s">
        <v>82</v>
      </c>
    </row>
    <row r="40" spans="2:12" x14ac:dyDescent="0.25">
      <c r="B40" s="11" t="s">
        <v>33</v>
      </c>
      <c r="C40" s="12">
        <v>1.2</v>
      </c>
    </row>
    <row r="41" spans="2:12" x14ac:dyDescent="0.25">
      <c r="B41" s="11" t="s">
        <v>39</v>
      </c>
      <c r="C41" s="12">
        <v>1</v>
      </c>
    </row>
    <row r="48" spans="2:12" x14ac:dyDescent="0.25">
      <c r="E48" s="43" t="s">
        <v>7</v>
      </c>
      <c r="F48" s="43"/>
      <c r="G48" s="44">
        <f>'Caratteristiche Materiale'!I19</f>
        <v>19</v>
      </c>
      <c r="H48" s="44" t="s">
        <v>103</v>
      </c>
      <c r="K48" s="49" t="s">
        <v>123</v>
      </c>
      <c r="L48" s="13">
        <v>1</v>
      </c>
    </row>
    <row r="49" spans="5:12" ht="18.75" x14ac:dyDescent="0.25">
      <c r="E49" s="45" t="s">
        <v>8</v>
      </c>
      <c r="F49" s="45"/>
      <c r="G49" s="44">
        <f>'Caratteristiche Materiale'!I20</f>
        <v>1000</v>
      </c>
      <c r="H49" s="44" t="s">
        <v>101</v>
      </c>
      <c r="K49" s="49" t="s">
        <v>124</v>
      </c>
      <c r="L49" s="13">
        <v>0.75</v>
      </c>
    </row>
    <row r="50" spans="5:12" ht="18.75" x14ac:dyDescent="0.25">
      <c r="E50" s="45" t="s">
        <v>102</v>
      </c>
      <c r="F50" s="45"/>
      <c r="G50" s="46">
        <f>'Caratteristiche Materiale'!I24</f>
        <v>370.37037037037032</v>
      </c>
      <c r="H50" s="44" t="s">
        <v>101</v>
      </c>
      <c r="K50" s="49" t="s">
        <v>125</v>
      </c>
      <c r="L50" s="13">
        <v>0.5</v>
      </c>
    </row>
    <row r="51" spans="5:12" ht="18.75" x14ac:dyDescent="0.25">
      <c r="E51" s="47" t="s">
        <v>3</v>
      </c>
      <c r="F51" s="47"/>
      <c r="G51" s="46">
        <f>'Caratteristiche Materiale'!I21</f>
        <v>18</v>
      </c>
      <c r="H51" s="44" t="s">
        <v>101</v>
      </c>
    </row>
    <row r="52" spans="5:12" x14ac:dyDescent="0.25">
      <c r="E52" s="44"/>
      <c r="F52" s="44"/>
      <c r="G52" s="44"/>
      <c r="H52" s="44"/>
    </row>
    <row r="53" spans="5:12" x14ac:dyDescent="0.25">
      <c r="E53" s="43" t="s">
        <v>0</v>
      </c>
      <c r="F53" s="43"/>
      <c r="G53" s="46">
        <f>DATI!F16</f>
        <v>1.35</v>
      </c>
      <c r="H53" s="44" t="s">
        <v>100</v>
      </c>
    </row>
    <row r="54" spans="5:12" ht="18.75" x14ac:dyDescent="0.25">
      <c r="E54" s="48" t="s">
        <v>6</v>
      </c>
      <c r="F54" s="48"/>
      <c r="G54" s="44">
        <f>DATI!F45</f>
        <v>2</v>
      </c>
      <c r="H54" s="44" t="s">
        <v>100</v>
      </c>
    </row>
    <row r="55" spans="5:12" x14ac:dyDescent="0.25">
      <c r="E55" s="3"/>
      <c r="G55" s="3"/>
      <c r="H55" s="3"/>
    </row>
    <row r="59" spans="5:12" x14ac:dyDescent="0.25">
      <c r="E59" s="3"/>
      <c r="G59" s="3"/>
    </row>
    <row r="60" spans="5:12" x14ac:dyDescent="0.25">
      <c r="E60" s="3">
        <v>0</v>
      </c>
      <c r="G60" s="3">
        <v>0</v>
      </c>
    </row>
    <row r="61" spans="5:12" x14ac:dyDescent="0.25">
      <c r="E61" s="3">
        <v>-6.9999999999999999E-4</v>
      </c>
      <c r="G61" s="3">
        <v>0</v>
      </c>
    </row>
    <row r="62" spans="5:12" x14ac:dyDescent="0.25">
      <c r="E62" s="3">
        <v>-6.9999999999999999E-4</v>
      </c>
      <c r="G62" s="41">
        <f>'LEGAME COSTITUTIVO'!H11</f>
        <v>-370.37037037037032</v>
      </c>
    </row>
    <row r="63" spans="5:12" x14ac:dyDescent="0.25">
      <c r="E63" s="3">
        <v>-3.5000000000000001E-3</v>
      </c>
      <c r="G63" s="41">
        <f>G62</f>
        <v>-370.37037037037032</v>
      </c>
    </row>
    <row r="64" spans="5:12" x14ac:dyDescent="0.25">
      <c r="E64" s="3">
        <f>E63</f>
        <v>-3.5000000000000001E-3</v>
      </c>
      <c r="G64" s="3">
        <v>0</v>
      </c>
    </row>
    <row r="82" spans="2:15" x14ac:dyDescent="0.25">
      <c r="B82" s="150" t="str">
        <f>DATI!B12</f>
        <v xml:space="preserve">Muratura in pietrame disordinata </v>
      </c>
      <c r="C82" s="150"/>
      <c r="D82" s="150"/>
      <c r="E82" s="150"/>
      <c r="F82" s="150"/>
      <c r="G82" s="150"/>
      <c r="H82" s="179" t="s">
        <v>19</v>
      </c>
      <c r="I82" s="179" t="s">
        <v>20</v>
      </c>
      <c r="J82" s="179" t="s">
        <v>140</v>
      </c>
      <c r="K82" s="179" t="s">
        <v>21</v>
      </c>
      <c r="L82" s="179" t="s">
        <v>22</v>
      </c>
      <c r="M82" s="179" t="s">
        <v>23</v>
      </c>
      <c r="N82" s="179"/>
      <c r="O82" s="137">
        <f>IF(DATI!F27="SI",1,0)</f>
        <v>0</v>
      </c>
    </row>
    <row r="83" spans="2:15" x14ac:dyDescent="0.25">
      <c r="B83" s="150"/>
      <c r="C83" s="150"/>
      <c r="D83" s="150"/>
      <c r="E83" s="150"/>
      <c r="F83" s="150"/>
      <c r="G83" s="150"/>
      <c r="H83" s="179"/>
      <c r="I83" s="179"/>
      <c r="J83" s="179"/>
      <c r="K83" s="179"/>
      <c r="L83" s="179"/>
      <c r="M83" s="179"/>
      <c r="N83" s="179"/>
      <c r="O83" s="137"/>
    </row>
    <row r="84" spans="2:15" x14ac:dyDescent="0.25">
      <c r="B84" s="150"/>
      <c r="C84" s="150"/>
      <c r="D84" s="150"/>
      <c r="E84" s="150"/>
      <c r="F84" s="150"/>
      <c r="G84" s="150"/>
      <c r="H84" s="20">
        <f>IF('FOGLIO DEPOSITO'!$D$39=1,VLOOKUP('FOGLIO DEPOSITO'!$B$82,'FOGLIO DEPOSITO'!$C$5:$P$12,'FOGLIO DEPOSITO'!D3,FALSE),VLOOKUP('FOGLIO DEPOSITO'!$B$82,'FOGLIO DEPOSITO'!$C$13:$P$20,'FOGLIO DEPOSITO'!D3,FALSE))</f>
        <v>100</v>
      </c>
      <c r="I84" s="20">
        <f>IF('FOGLIO DEPOSITO'!$D$39=1,VLOOKUP('FOGLIO DEPOSITO'!$B$82,'FOGLIO DEPOSITO'!$C$5:$P$12,'FOGLIO DEPOSITO'!E3,FALSE),VLOOKUP('FOGLIO DEPOSITO'!$B$82,'FOGLIO DEPOSITO'!$C$13:$P$20,'FOGLIO DEPOSITO'!E3,FALSE))</f>
        <v>1.8</v>
      </c>
      <c r="J84" s="20">
        <f>IF('FOGLIO DEPOSITO'!$D$39=1,VLOOKUP('FOGLIO DEPOSITO'!$B$82,'FOGLIO DEPOSITO'!$C$5:$P$12,'FOGLIO DEPOSITO'!F3,FALSE),VLOOKUP('FOGLIO DEPOSITO'!$B$82,'FOGLIO DEPOSITO'!$C$13:$P$20,'FOGLIO DEPOSITO'!F3,FALSE))</f>
        <v>0</v>
      </c>
      <c r="K84" s="5">
        <f>IF('FOGLIO DEPOSITO'!$D$39=1,VLOOKUP('FOGLIO DEPOSITO'!$B$82,'FOGLIO DEPOSITO'!$C$5:$P$12,'FOGLIO DEPOSITO'!G3,FALSE),VLOOKUP('FOGLIO DEPOSITO'!$B$82,'FOGLIO DEPOSITO'!$C$13:$P$20,'FOGLIO DEPOSITO'!G3,FALSE))</f>
        <v>870</v>
      </c>
      <c r="L84" s="5">
        <f>IF('FOGLIO DEPOSITO'!$D$39=1,VLOOKUP('FOGLIO DEPOSITO'!$B$82,'FOGLIO DEPOSITO'!$C$5:$P$12,'FOGLIO DEPOSITO'!H3,FALSE),VLOOKUP('FOGLIO DEPOSITO'!$B$82,'FOGLIO DEPOSITO'!$C$13:$P$20,'FOGLIO DEPOSITO'!H3,FALSE))</f>
        <v>290</v>
      </c>
      <c r="M84" s="5">
        <f>IF('FOGLIO DEPOSITO'!$D$39=1,VLOOKUP('FOGLIO DEPOSITO'!$B$82,'FOGLIO DEPOSITO'!$C$5:$P$12,'FOGLIO DEPOSITO'!I3,FALSE),VLOOKUP('FOGLIO DEPOSITO'!$B$82,'FOGLIO DEPOSITO'!$C$13:$P$20,'FOGLIO DEPOSITO'!I3,FALSE))</f>
        <v>19</v>
      </c>
      <c r="N84" s="109"/>
      <c r="O84" s="137">
        <f>IF(DATI!F29="SI",1,0)</f>
        <v>0</v>
      </c>
    </row>
    <row r="85" spans="2:15" x14ac:dyDescent="0.25">
      <c r="B85" s="182" t="s">
        <v>24</v>
      </c>
      <c r="C85" s="182"/>
      <c r="D85" s="182"/>
      <c r="E85" s="182"/>
      <c r="F85" s="182"/>
      <c r="G85" s="182"/>
      <c r="H85" s="5">
        <f>IF(H90&gt;1,1,IF(DATI!F21="si",'FOGLIO DEPOSITO'!J27,1))</f>
        <v>1</v>
      </c>
      <c r="I85" s="5">
        <f>H85</f>
        <v>1</v>
      </c>
      <c r="J85" s="101">
        <f t="shared" ref="J85:J91" si="1">H85</f>
        <v>1</v>
      </c>
      <c r="K85" s="5">
        <f>H85</f>
        <v>1</v>
      </c>
      <c r="L85" s="5">
        <f>H85</f>
        <v>1</v>
      </c>
      <c r="M85" s="5">
        <v>1</v>
      </c>
      <c r="N85" s="109"/>
      <c r="O85" s="137"/>
    </row>
    <row r="86" spans="2:15" x14ac:dyDescent="0.25">
      <c r="B86" s="182" t="s">
        <v>149</v>
      </c>
      <c r="C86" s="182"/>
      <c r="D86" s="182"/>
      <c r="E86" s="182"/>
      <c r="F86" s="182"/>
      <c r="G86" s="182"/>
      <c r="H86" s="5">
        <f>IF(DATI!F31="si",'FOGLIO DEPOSITO'!J29,1)</f>
        <v>1</v>
      </c>
      <c r="I86" s="5">
        <f>IF(H86&gt;1,(H86-1)/2+1,1)</f>
        <v>1</v>
      </c>
      <c r="J86" s="101">
        <f t="shared" si="1"/>
        <v>1</v>
      </c>
      <c r="K86" s="5">
        <f>H86</f>
        <v>1</v>
      </c>
      <c r="L86" s="5">
        <f>H86</f>
        <v>1</v>
      </c>
      <c r="M86" s="5">
        <v>1</v>
      </c>
      <c r="N86" s="109"/>
      <c r="O86" s="137">
        <f>IF(DATI!F31="SI",1,0)</f>
        <v>0</v>
      </c>
    </row>
    <row r="87" spans="2:15" x14ac:dyDescent="0.25">
      <c r="B87" s="182" t="s">
        <v>41</v>
      </c>
      <c r="C87" s="182"/>
      <c r="D87" s="182"/>
      <c r="E87" s="182"/>
      <c r="F87" s="182"/>
      <c r="G87" s="182"/>
      <c r="H87" s="5">
        <f>IF(DATI!F23="si",'FOGLIO DEPOSITO'!J31,1)</f>
        <v>1</v>
      </c>
      <c r="I87" s="5">
        <f>H87</f>
        <v>1</v>
      </c>
      <c r="J87" s="101">
        <f t="shared" si="1"/>
        <v>1</v>
      </c>
      <c r="K87" s="5">
        <v>1</v>
      </c>
      <c r="L87" s="5">
        <v>1</v>
      </c>
      <c r="M87" s="5">
        <v>1</v>
      </c>
      <c r="N87" s="109"/>
      <c r="O87" s="137"/>
    </row>
    <row r="88" spans="2:15" x14ac:dyDescent="0.25">
      <c r="B88" s="182" t="s">
        <v>40</v>
      </c>
      <c r="C88" s="182"/>
      <c r="D88" s="182"/>
      <c r="E88" s="182"/>
      <c r="F88" s="182"/>
      <c r="G88" s="182"/>
      <c r="H88" s="5">
        <f>IF(DATI!F25="si",'FOGLIO DEPOSITO'!J33,1)</f>
        <v>1</v>
      </c>
      <c r="I88" s="5">
        <f>H88</f>
        <v>1</v>
      </c>
      <c r="J88" s="101">
        <f t="shared" si="1"/>
        <v>1</v>
      </c>
      <c r="K88" s="5">
        <v>1</v>
      </c>
      <c r="L88" s="5">
        <v>1</v>
      </c>
      <c r="M88" s="5">
        <v>1</v>
      </c>
      <c r="N88" s="109"/>
      <c r="O88" s="137">
        <f>IF(DATI!F33="SI",1,0)</f>
        <v>0</v>
      </c>
    </row>
    <row r="89" spans="2:15" x14ac:dyDescent="0.25">
      <c r="B89" s="182" t="s">
        <v>151</v>
      </c>
      <c r="C89" s="182"/>
      <c r="D89" s="182"/>
      <c r="E89" s="182"/>
      <c r="F89" s="182"/>
      <c r="G89" s="182"/>
      <c r="H89" s="5">
        <f>IF(DATI!F33="si",'FOGLIO DEPOSITO'!J35,1)</f>
        <v>1</v>
      </c>
      <c r="I89" s="4">
        <f>H89</f>
        <v>1</v>
      </c>
      <c r="J89" s="101">
        <f t="shared" si="1"/>
        <v>1</v>
      </c>
      <c r="K89" s="5">
        <v>1</v>
      </c>
      <c r="L89" s="5">
        <v>1</v>
      </c>
      <c r="M89" s="5">
        <v>1</v>
      </c>
      <c r="N89" s="109"/>
    </row>
    <row r="90" spans="2:15" x14ac:dyDescent="0.25">
      <c r="B90" s="181" t="s">
        <v>42</v>
      </c>
      <c r="C90" s="181"/>
      <c r="D90" s="181"/>
      <c r="E90" s="181"/>
      <c r="F90" s="181"/>
      <c r="G90" s="181"/>
      <c r="H90" s="5">
        <f>IF(DATI!F27="si",'FOGLIO DEPOSITO'!J37,1)</f>
        <v>1</v>
      </c>
      <c r="I90" s="5">
        <f>H90</f>
        <v>1</v>
      </c>
      <c r="J90" s="101">
        <f t="shared" si="1"/>
        <v>1</v>
      </c>
      <c r="K90" s="5">
        <f>H90</f>
        <v>1</v>
      </c>
      <c r="L90" s="5">
        <f>H90</f>
        <v>1</v>
      </c>
      <c r="M90" s="5">
        <v>1</v>
      </c>
      <c r="N90" s="109"/>
    </row>
    <row r="91" spans="2:15" x14ac:dyDescent="0.25">
      <c r="B91" s="181" t="s">
        <v>82</v>
      </c>
      <c r="C91" s="181"/>
      <c r="D91" s="181"/>
      <c r="E91" s="181"/>
      <c r="F91" s="181"/>
      <c r="G91" s="181"/>
      <c r="H91" s="19">
        <f>IF(DATI!F29="si",'FOGLIO DEPOSITO'!J39,1)</f>
        <v>1</v>
      </c>
      <c r="I91" s="19">
        <f>H91</f>
        <v>1</v>
      </c>
      <c r="J91" s="101">
        <f t="shared" si="1"/>
        <v>1</v>
      </c>
      <c r="K91" s="19">
        <f>H91</f>
        <v>1</v>
      </c>
      <c r="L91" s="19">
        <f>H91</f>
        <v>1</v>
      </c>
      <c r="M91" s="19">
        <v>1</v>
      </c>
      <c r="N91" s="109"/>
    </row>
    <row r="92" spans="2:15" x14ac:dyDescent="0.25">
      <c r="J92" s="3"/>
    </row>
    <row r="93" spans="2:15" x14ac:dyDescent="0.25">
      <c r="J93" s="3"/>
    </row>
    <row r="94" spans="2:15" x14ac:dyDescent="0.25">
      <c r="H94" s="75">
        <f>'Caratteristiche Materiale'!G6*'Caratteristiche Materiale'!G7*'Caratteristiche Materiale'!G12*'Caratteristiche Materiale'!G8*'Caratteristiche Materiale'!G9*'Caratteristiche Materiale'!G13*'Caratteristiche Materiale'!G10*'Caratteristiche Materiale'!G11</f>
        <v>100</v>
      </c>
      <c r="I94" s="75">
        <f>'Caratteristiche Materiale'!H6*'Caratteristiche Materiale'!H7*'Caratteristiche Materiale'!H12*'Caratteristiche Materiale'!H8*'Caratteristiche Materiale'!H9*'Caratteristiche Materiale'!H13*'Caratteristiche Materiale'!H10*'Caratteristiche Materiale'!H11</f>
        <v>1.8</v>
      </c>
      <c r="J94" s="75">
        <f>J84*J85*J86*J87*J88*J89*J90*J91</f>
        <v>0</v>
      </c>
      <c r="K94" s="75">
        <f>'Caratteristiche Materiale'!J6*'Caratteristiche Materiale'!J7*'Caratteristiche Materiale'!J12*'Caratteristiche Materiale'!J8*'Caratteristiche Materiale'!J9*'Caratteristiche Materiale'!J13*'Caratteristiche Materiale'!J10*'Caratteristiche Materiale'!J11</f>
        <v>870</v>
      </c>
      <c r="L94" s="75">
        <f>'Caratteristiche Materiale'!K6*'Caratteristiche Materiale'!K7*'Caratteristiche Materiale'!K12*'Caratteristiche Materiale'!K8*'Caratteristiche Materiale'!K9*'Caratteristiche Materiale'!K13*'Caratteristiche Materiale'!K10*'Caratteristiche Materiale'!K11</f>
        <v>290</v>
      </c>
      <c r="M94" s="75">
        <f>'Caratteristiche Materiale'!L6*'Caratteristiche Materiale'!L7*'Caratteristiche Materiale'!L12*'Caratteristiche Materiale'!L8*'Caratteristiche Materiale'!L9*'Caratteristiche Materiale'!L13*'Caratteristiche Materiale'!L10*'Caratteristiche Materiale'!L11</f>
        <v>19</v>
      </c>
    </row>
    <row r="95" spans="2:15" x14ac:dyDescent="0.25">
      <c r="J95" s="3"/>
    </row>
    <row r="96" spans="2:15" x14ac:dyDescent="0.25">
      <c r="J96" s="3"/>
      <c r="N96" s="76">
        <f>VLOOKUP(DATI!F35,'FOGLIO DEPOSITO'!K48:L50,2,FALSE)</f>
        <v>1</v>
      </c>
    </row>
    <row r="97" spans="10:10" x14ac:dyDescent="0.25">
      <c r="J97" s="3"/>
    </row>
    <row r="98" spans="10:10" x14ac:dyDescent="0.25">
      <c r="J98" s="3"/>
    </row>
    <row r="99" spans="10:10" x14ac:dyDescent="0.25">
      <c r="J99" s="3"/>
    </row>
    <row r="100" spans="10:10" x14ac:dyDescent="0.25">
      <c r="J100" s="3"/>
    </row>
    <row r="101" spans="10:10" x14ac:dyDescent="0.25">
      <c r="J101" s="3"/>
    </row>
    <row r="102" spans="10:10" x14ac:dyDescent="0.25">
      <c r="J102" s="3"/>
    </row>
    <row r="103" spans="10:10" x14ac:dyDescent="0.25">
      <c r="J103" s="3"/>
    </row>
    <row r="104" spans="10:10" x14ac:dyDescent="0.25">
      <c r="J104" s="3"/>
    </row>
    <row r="105" spans="10:10" x14ac:dyDescent="0.25">
      <c r="J105" s="3"/>
    </row>
    <row r="106" spans="10:10" x14ac:dyDescent="0.25">
      <c r="J106" s="3"/>
    </row>
    <row r="107" spans="10:10" x14ac:dyDescent="0.25">
      <c r="J107" s="3"/>
    </row>
    <row r="108" spans="10:10" x14ac:dyDescent="0.25">
      <c r="J108" s="3"/>
    </row>
    <row r="109" spans="10:10" x14ac:dyDescent="0.25">
      <c r="J109" s="3"/>
    </row>
    <row r="110" spans="10:10" x14ac:dyDescent="0.25">
      <c r="J110" s="3"/>
    </row>
  </sheetData>
  <customSheetViews>
    <customSheetView guid="{008C3BE6-8B52-467A-965A-EFB0ED2F4BF4}" scale="80" state="hidden">
      <selection activeCell="C24" sqref="C24"/>
      <pageMargins left="0.7" right="0.7" top="0.75" bottom="0.75" header="0.3" footer="0.3"/>
    </customSheetView>
    <customSheetView guid="{DD657959-DBA4-44AA-BD36-35D76D92C4C8}" scale="70" state="hidden">
      <selection activeCell="G41" sqref="G41"/>
      <pageMargins left="0.7" right="0.7" top="0.75" bottom="0.75" header="0.3" footer="0.3"/>
    </customSheetView>
    <customSheetView guid="{4F428F85-A986-464A-BD5B-D43EDDD1A16A}" scale="80" state="hidden">
      <selection activeCell="C24" sqref="C24"/>
      <pageMargins left="0.7" right="0.7" top="0.75" bottom="0.75" header="0.3" footer="0.3"/>
    </customSheetView>
    <customSheetView guid="{F017CC66-3157-4857-B035-5B775CD5B9B9}" scale="80" state="hidden">
      <selection activeCell="C24" sqref="C24"/>
      <pageMargins left="0.7" right="0.7" top="0.75" bottom="0.75" header="0.3" footer="0.3"/>
    </customSheetView>
  </customSheetViews>
  <mergeCells count="16">
    <mergeCell ref="N82:N83"/>
    <mergeCell ref="B1:I1"/>
    <mergeCell ref="B91:G91"/>
    <mergeCell ref="L82:L83"/>
    <mergeCell ref="M82:M83"/>
    <mergeCell ref="B90:G90"/>
    <mergeCell ref="B87:G87"/>
    <mergeCell ref="H82:H83"/>
    <mergeCell ref="I82:I83"/>
    <mergeCell ref="K82:K83"/>
    <mergeCell ref="B82:G84"/>
    <mergeCell ref="B85:G85"/>
    <mergeCell ref="B86:G86"/>
    <mergeCell ref="B88:G88"/>
    <mergeCell ref="B89:G89"/>
    <mergeCell ref="J82:J8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96"/>
  <sheetViews>
    <sheetView showGridLines="0" zoomScale="90" zoomScaleNormal="90" workbookViewId="0">
      <selection activeCell="L64" sqref="L64"/>
    </sheetView>
  </sheetViews>
  <sheetFormatPr defaultRowHeight="15" x14ac:dyDescent="0.25"/>
  <cols>
    <col min="1" max="1" width="3.28515625" style="3" customWidth="1"/>
    <col min="2" max="3" width="15" customWidth="1"/>
    <col min="4" max="4" width="20.140625" customWidth="1"/>
    <col min="5" max="5" width="16.85546875" style="2" customWidth="1"/>
    <col min="6" max="6" width="20.7109375" style="2" customWidth="1"/>
    <col min="7" max="7" width="9.7109375" bestFit="1" customWidth="1"/>
  </cols>
  <sheetData>
    <row r="2" spans="2:6" x14ac:dyDescent="0.25">
      <c r="B2" s="176" t="s">
        <v>70</v>
      </c>
      <c r="C2" s="176"/>
      <c r="D2" s="176"/>
      <c r="E2" s="176"/>
      <c r="F2" s="176"/>
    </row>
    <row r="3" spans="2:6" x14ac:dyDescent="0.25">
      <c r="B3" s="9"/>
      <c r="C3" s="9"/>
      <c r="D3" s="9"/>
      <c r="E3" s="9"/>
      <c r="F3" s="9"/>
    </row>
    <row r="4" spans="2:6" x14ac:dyDescent="0.25">
      <c r="B4" s="77" t="s">
        <v>13</v>
      </c>
      <c r="C4" s="78">
        <f>DATI!F8</f>
        <v>2.9</v>
      </c>
      <c r="D4" s="9"/>
      <c r="E4" s="77" t="s">
        <v>11</v>
      </c>
      <c r="F4" s="79">
        <f>-ABS(DATI!F39)</f>
        <v>-250</v>
      </c>
    </row>
    <row r="5" spans="2:6" x14ac:dyDescent="0.25">
      <c r="B5" s="77" t="s">
        <v>9</v>
      </c>
      <c r="C5" s="78">
        <f>DATI!F6</f>
        <v>4</v>
      </c>
      <c r="D5" s="9"/>
      <c r="E5" s="77" t="s">
        <v>15</v>
      </c>
      <c r="F5" s="79">
        <f>DATI!F40</f>
        <v>50</v>
      </c>
    </row>
    <row r="6" spans="2:6" x14ac:dyDescent="0.25">
      <c r="B6" s="77" t="s">
        <v>10</v>
      </c>
      <c r="C6" s="80">
        <f>DATI!F7</f>
        <v>0.6</v>
      </c>
      <c r="D6" s="9"/>
      <c r="E6" s="77" t="s">
        <v>16</v>
      </c>
      <c r="F6" s="81">
        <f>DATI!F41</f>
        <v>121</v>
      </c>
    </row>
    <row r="7" spans="2:6" s="3" customFormat="1" x14ac:dyDescent="0.25">
      <c r="B7" s="82"/>
      <c r="C7" s="83"/>
      <c r="D7" s="9"/>
      <c r="E7" s="77" t="s">
        <v>17</v>
      </c>
      <c r="F7" s="81">
        <f>DATI!F42</f>
        <v>11.09</v>
      </c>
    </row>
    <row r="8" spans="2:6" x14ac:dyDescent="0.25">
      <c r="B8" s="9"/>
      <c r="C8" s="9"/>
      <c r="D8" s="9"/>
      <c r="E8" s="9"/>
      <c r="F8" s="9"/>
    </row>
    <row r="9" spans="2:6" x14ac:dyDescent="0.25">
      <c r="B9" s="176" t="s">
        <v>71</v>
      </c>
      <c r="C9" s="176"/>
      <c r="D9" s="176"/>
      <c r="E9" s="176"/>
      <c r="F9" s="176"/>
    </row>
    <row r="10" spans="2:6" x14ac:dyDescent="0.25">
      <c r="B10" s="9"/>
      <c r="C10" s="9"/>
      <c r="D10" s="9"/>
      <c r="E10" s="9"/>
      <c r="F10" s="9"/>
    </row>
    <row r="11" spans="2:6" s="3" customFormat="1" x14ac:dyDescent="0.25">
      <c r="B11" s="9" t="s">
        <v>64</v>
      </c>
      <c r="C11" s="9"/>
      <c r="D11" s="9"/>
      <c r="E11" s="84" t="s">
        <v>61</v>
      </c>
      <c r="F11" s="85">
        <f>IF(('RESISTENZA MURATURA'!F4/(C5*C6))&lt;=0,('RESISTENZA MURATURA'!F4/(C5*C6)),0)</f>
        <v>-104.16666666666667</v>
      </c>
    </row>
    <row r="12" spans="2:6" s="3" customFormat="1" x14ac:dyDescent="0.25">
      <c r="B12" s="9" t="s">
        <v>63</v>
      </c>
      <c r="C12" s="9"/>
      <c r="D12" s="9"/>
      <c r="E12" s="77" t="s">
        <v>62</v>
      </c>
      <c r="F12" s="79">
        <f>0.85*'Caratteristiche Materiale'!I24*0.8*'RESISTENZA MURATURA'!C6*F13</f>
        <v>250</v>
      </c>
    </row>
    <row r="13" spans="2:6" s="3" customFormat="1" x14ac:dyDescent="0.25">
      <c r="B13" s="9" t="s">
        <v>65</v>
      </c>
      <c r="C13" s="9"/>
      <c r="D13" s="9"/>
      <c r="E13" s="77" t="s">
        <v>60</v>
      </c>
      <c r="F13" s="86">
        <f>ABS(F4)/(0.85*'Caratteristiche Materiale'!I24*0.8*'RESISTENZA MURATURA'!C6)</f>
        <v>1.6544117647058822</v>
      </c>
    </row>
    <row r="14" spans="2:6" s="3" customFormat="1" x14ac:dyDescent="0.25">
      <c r="B14" s="9" t="s">
        <v>66</v>
      </c>
      <c r="C14" s="9"/>
      <c r="D14" s="9"/>
      <c r="E14" s="77" t="s">
        <v>2</v>
      </c>
      <c r="F14" s="87">
        <f>(C5/2-0.4*F13)*ABS(F4)</f>
        <v>334.55882352941182</v>
      </c>
    </row>
    <row r="15" spans="2:6" s="3" customFormat="1" ht="15.75" x14ac:dyDescent="0.25">
      <c r="B15" s="9" t="s">
        <v>1</v>
      </c>
      <c r="C15" s="9"/>
      <c r="D15" s="9"/>
      <c r="E15" s="77" t="s">
        <v>1</v>
      </c>
      <c r="F15" s="88" t="str">
        <f>IF(F14&gt;=F6, "verificato", "NON VERIFICATO")</f>
        <v>verificato</v>
      </c>
    </row>
    <row r="16" spans="2:6" s="3" customFormat="1" x14ac:dyDescent="0.25">
      <c r="B16" s="9"/>
      <c r="C16" s="9"/>
      <c r="D16" s="9"/>
      <c r="E16" s="9"/>
      <c r="F16" s="9"/>
    </row>
    <row r="17" spans="2:6" x14ac:dyDescent="0.25">
      <c r="B17" s="9"/>
      <c r="C17" s="9"/>
      <c r="D17" s="9"/>
      <c r="E17" s="9"/>
      <c r="F17" s="9"/>
    </row>
    <row r="18" spans="2:6" x14ac:dyDescent="0.25">
      <c r="B18" s="9"/>
      <c r="C18" s="9"/>
      <c r="D18" s="9"/>
      <c r="E18" s="9"/>
      <c r="F18" s="9"/>
    </row>
    <row r="19" spans="2:6" x14ac:dyDescent="0.25">
      <c r="B19" s="9"/>
      <c r="C19" s="9"/>
      <c r="D19" s="9"/>
      <c r="E19" s="9"/>
      <c r="F19" s="9"/>
    </row>
    <row r="20" spans="2:6" x14ac:dyDescent="0.25">
      <c r="B20" s="9"/>
      <c r="C20" s="9"/>
      <c r="D20" s="9"/>
      <c r="E20" s="9"/>
      <c r="F20" s="9"/>
    </row>
    <row r="21" spans="2:6" x14ac:dyDescent="0.25">
      <c r="B21" s="9"/>
      <c r="C21" s="9"/>
      <c r="D21" s="9"/>
      <c r="E21" s="9"/>
      <c r="F21" s="9"/>
    </row>
    <row r="22" spans="2:6" x14ac:dyDescent="0.25">
      <c r="B22" s="9"/>
      <c r="C22" s="9"/>
      <c r="D22" s="9"/>
      <c r="E22" s="9"/>
      <c r="F22" s="9"/>
    </row>
    <row r="23" spans="2:6" x14ac:dyDescent="0.25">
      <c r="B23" s="9"/>
      <c r="C23" s="9"/>
      <c r="D23" s="9"/>
      <c r="E23" s="9"/>
      <c r="F23" s="9"/>
    </row>
    <row r="24" spans="2:6" x14ac:dyDescent="0.25">
      <c r="B24" s="9"/>
      <c r="C24" s="9"/>
      <c r="D24" s="9"/>
      <c r="E24" s="9"/>
      <c r="F24" s="9"/>
    </row>
    <row r="25" spans="2:6" x14ac:dyDescent="0.25">
      <c r="B25" s="9"/>
      <c r="C25" s="9"/>
      <c r="D25" s="9"/>
      <c r="E25" s="9"/>
      <c r="F25" s="9"/>
    </row>
    <row r="26" spans="2:6" x14ac:dyDescent="0.25">
      <c r="B26" s="9"/>
      <c r="C26" s="9"/>
      <c r="D26" s="9"/>
      <c r="E26" s="9"/>
      <c r="F26" s="9"/>
    </row>
    <row r="27" spans="2:6" x14ac:dyDescent="0.25">
      <c r="B27" s="9"/>
      <c r="C27" s="9"/>
      <c r="D27" s="9"/>
      <c r="E27" s="9"/>
      <c r="F27" s="9"/>
    </row>
    <row r="28" spans="2:6" x14ac:dyDescent="0.25">
      <c r="B28" s="9"/>
      <c r="C28" s="9"/>
      <c r="D28" s="9"/>
      <c r="E28" s="9"/>
      <c r="F28" s="9"/>
    </row>
    <row r="29" spans="2:6" x14ac:dyDescent="0.25">
      <c r="B29" s="9"/>
      <c r="C29" s="9"/>
      <c r="D29" s="9"/>
      <c r="E29" s="9"/>
      <c r="F29" s="9"/>
    </row>
    <row r="30" spans="2:6" x14ac:dyDescent="0.25">
      <c r="B30" s="9"/>
      <c r="C30" s="9"/>
      <c r="D30" s="9"/>
      <c r="E30" s="9"/>
      <c r="F30" s="9"/>
    </row>
    <row r="31" spans="2:6" x14ac:dyDescent="0.25">
      <c r="B31" s="9"/>
      <c r="C31" s="9"/>
      <c r="D31" s="9"/>
      <c r="E31" s="9"/>
      <c r="F31" s="9"/>
    </row>
    <row r="32" spans="2:6" x14ac:dyDescent="0.25">
      <c r="B32" s="9"/>
      <c r="C32" s="9"/>
      <c r="D32" s="9"/>
      <c r="E32" s="9"/>
      <c r="F32" s="9"/>
    </row>
    <row r="33" spans="2:6" x14ac:dyDescent="0.25">
      <c r="B33" s="9"/>
      <c r="C33" s="9"/>
      <c r="D33" s="9"/>
      <c r="E33" s="9"/>
      <c r="F33" s="9"/>
    </row>
    <row r="34" spans="2:6" s="3" customFormat="1" x14ac:dyDescent="0.25">
      <c r="B34" s="9"/>
      <c r="C34" s="9"/>
      <c r="D34" s="9"/>
      <c r="E34" s="9"/>
      <c r="F34" s="9"/>
    </row>
    <row r="35" spans="2:6" s="3" customFormat="1" x14ac:dyDescent="0.25">
      <c r="B35" s="9"/>
      <c r="C35" s="9"/>
      <c r="D35" s="9"/>
      <c r="E35" s="9"/>
      <c r="F35" s="9"/>
    </row>
    <row r="36" spans="2:6" s="3" customFormat="1" x14ac:dyDescent="0.25">
      <c r="B36" s="9"/>
      <c r="C36" s="9"/>
      <c r="D36" s="9"/>
      <c r="E36" s="9"/>
      <c r="F36" s="9"/>
    </row>
    <row r="37" spans="2:6" s="3" customFormat="1" x14ac:dyDescent="0.25">
      <c r="B37" s="9"/>
      <c r="C37" s="9"/>
      <c r="D37" s="9"/>
      <c r="E37" s="9"/>
      <c r="F37" s="9"/>
    </row>
    <row r="38" spans="2:6" s="3" customFormat="1" x14ac:dyDescent="0.25">
      <c r="B38" s="9"/>
      <c r="C38" s="9"/>
      <c r="D38" s="9"/>
      <c r="E38" s="9"/>
      <c r="F38" s="9"/>
    </row>
    <row r="39" spans="2:6" s="3" customFormat="1" x14ac:dyDescent="0.25">
      <c r="B39" s="9"/>
      <c r="C39" s="9"/>
      <c r="D39" s="9"/>
      <c r="E39" s="9"/>
      <c r="F39" s="9"/>
    </row>
    <row r="40" spans="2:6" s="3" customFormat="1" x14ac:dyDescent="0.25">
      <c r="B40" s="9"/>
      <c r="C40" s="9"/>
      <c r="D40" s="9"/>
      <c r="E40" s="9"/>
      <c r="F40" s="9"/>
    </row>
    <row r="41" spans="2:6" s="3" customFormat="1" x14ac:dyDescent="0.25">
      <c r="B41" s="9"/>
      <c r="C41" s="9"/>
      <c r="D41" s="9"/>
      <c r="E41" s="9"/>
      <c r="F41" s="9"/>
    </row>
    <row r="42" spans="2:6" s="3" customFormat="1" x14ac:dyDescent="0.25">
      <c r="B42" s="9"/>
      <c r="C42" s="9"/>
      <c r="D42" s="9"/>
      <c r="E42" s="9"/>
      <c r="F42" s="9"/>
    </row>
    <row r="43" spans="2:6" s="3" customFormat="1" x14ac:dyDescent="0.25">
      <c r="B43" s="9"/>
      <c r="C43" s="9"/>
      <c r="D43" s="9"/>
      <c r="E43" s="9"/>
      <c r="F43" s="9"/>
    </row>
    <row r="44" spans="2:6" s="3" customFormat="1" x14ac:dyDescent="0.25">
      <c r="B44" s="172" t="s">
        <v>73</v>
      </c>
      <c r="C44" s="172"/>
      <c r="D44" s="172"/>
      <c r="E44" s="172"/>
      <c r="F44" s="172"/>
    </row>
    <row r="45" spans="2:6" s="3" customFormat="1" x14ac:dyDescent="0.25">
      <c r="B45" s="9"/>
      <c r="C45" s="9"/>
      <c r="D45" s="9"/>
      <c r="E45" s="9"/>
      <c r="F45" s="9"/>
    </row>
    <row r="46" spans="2:6" s="3" customFormat="1" x14ac:dyDescent="0.25">
      <c r="B46" s="9" t="s">
        <v>67</v>
      </c>
      <c r="C46" s="9"/>
      <c r="D46" s="9"/>
      <c r="E46" s="89" t="s">
        <v>12</v>
      </c>
      <c r="F46" s="90">
        <f>IF(C4/C5&lt;1,1,IF(C4/C5&gt;1.5,1.5,C4/C5))</f>
        <v>1</v>
      </c>
    </row>
    <row r="47" spans="2:6" s="3" customFormat="1" ht="18.75" x14ac:dyDescent="0.3">
      <c r="B47" s="9" t="s">
        <v>86</v>
      </c>
      <c r="C47" s="9"/>
      <c r="D47" s="9"/>
      <c r="E47" s="91" t="s">
        <v>49</v>
      </c>
      <c r="F47" s="85">
        <f>ABS(F5)/(C5*C6)</f>
        <v>20.833333333333336</v>
      </c>
    </row>
    <row r="48" spans="2:6" s="3" customFormat="1" ht="18.75" x14ac:dyDescent="0.3">
      <c r="B48" s="9" t="s">
        <v>93</v>
      </c>
      <c r="C48" s="9"/>
      <c r="D48" s="9"/>
      <c r="E48" s="91" t="s">
        <v>68</v>
      </c>
      <c r="F48" s="85">
        <f>F47*1.5</f>
        <v>31.250000000000004</v>
      </c>
    </row>
    <row r="49" spans="2:6" s="3" customFormat="1" ht="18.75" x14ac:dyDescent="0.3">
      <c r="B49" s="9" t="s">
        <v>94</v>
      </c>
      <c r="C49" s="9"/>
      <c r="D49" s="9"/>
      <c r="E49" s="91" t="s">
        <v>4</v>
      </c>
      <c r="F49" s="85">
        <f>1.5/F46*'Caratteristiche Materiale'!$I$25*(1+ABS(F11)/(1.5*'Caratteristiche Materiale'!$I$25))^0.5</f>
        <v>33.788558221188822</v>
      </c>
    </row>
    <row r="50" spans="2:6" x14ac:dyDescent="0.25">
      <c r="B50" s="9" t="s">
        <v>69</v>
      </c>
      <c r="C50" s="9"/>
      <c r="D50" s="9"/>
      <c r="E50" s="89" t="s">
        <v>5</v>
      </c>
      <c r="F50" s="79">
        <f>F49*C5*C6</f>
        <v>81.092539730853176</v>
      </c>
    </row>
    <row r="51" spans="2:6" ht="15.75" x14ac:dyDescent="0.25">
      <c r="B51" s="9" t="s">
        <v>1</v>
      </c>
      <c r="C51" s="9"/>
      <c r="D51" s="9"/>
      <c r="E51" s="77" t="s">
        <v>1</v>
      </c>
      <c r="F51" s="88" t="str">
        <f>IF(F50&gt;=F5, "verificato", "NON VERIFICATO")</f>
        <v>verificato</v>
      </c>
    </row>
    <row r="52" spans="2:6" x14ac:dyDescent="0.25">
      <c r="B52" s="9"/>
      <c r="C52" s="9"/>
      <c r="D52" s="9"/>
      <c r="E52" s="9"/>
      <c r="F52" s="9"/>
    </row>
    <row r="53" spans="2:6" x14ac:dyDescent="0.25">
      <c r="B53" s="9"/>
      <c r="C53" s="9"/>
      <c r="D53" s="9"/>
      <c r="E53" s="9"/>
      <c r="F53" s="9"/>
    </row>
    <row r="54" spans="2:6" x14ac:dyDescent="0.25">
      <c r="B54" s="9"/>
      <c r="C54" s="9"/>
      <c r="D54" s="9"/>
      <c r="E54" s="9"/>
      <c r="F54" s="9"/>
    </row>
    <row r="55" spans="2:6" x14ac:dyDescent="0.25">
      <c r="B55" s="9"/>
      <c r="C55" s="9"/>
      <c r="D55" s="9"/>
      <c r="E55" s="9"/>
      <c r="F55" s="9"/>
    </row>
    <row r="56" spans="2:6" x14ac:dyDescent="0.25">
      <c r="B56" s="9"/>
      <c r="C56" s="9"/>
      <c r="D56" s="9"/>
      <c r="E56" s="9"/>
      <c r="F56" s="9"/>
    </row>
    <row r="57" spans="2:6" x14ac:dyDescent="0.25">
      <c r="B57" s="9"/>
      <c r="C57" s="9"/>
      <c r="D57" s="9"/>
      <c r="E57" s="9"/>
      <c r="F57" s="9"/>
    </row>
    <row r="58" spans="2:6" x14ac:dyDescent="0.25">
      <c r="B58" s="9"/>
      <c r="C58" s="9"/>
      <c r="D58" s="9"/>
      <c r="E58" s="9"/>
      <c r="F58" s="9"/>
    </row>
    <row r="59" spans="2:6" x14ac:dyDescent="0.25">
      <c r="B59" s="172" t="s">
        <v>72</v>
      </c>
      <c r="C59" s="172"/>
      <c r="D59" s="172"/>
      <c r="E59" s="172"/>
      <c r="F59" s="172"/>
    </row>
    <row r="60" spans="2:6" x14ac:dyDescent="0.25">
      <c r="B60" s="9"/>
      <c r="C60" s="9"/>
      <c r="D60" s="9"/>
      <c r="E60" s="9"/>
      <c r="F60" s="9"/>
    </row>
    <row r="61" spans="2:6" s="3" customFormat="1" x14ac:dyDescent="0.25">
      <c r="B61" s="9" t="s">
        <v>64</v>
      </c>
      <c r="C61" s="9"/>
      <c r="D61" s="9"/>
      <c r="E61" s="84" t="s">
        <v>61</v>
      </c>
      <c r="F61" s="85">
        <f>F11</f>
        <v>-104.16666666666667</v>
      </c>
    </row>
    <row r="62" spans="2:6" s="3" customFormat="1" x14ac:dyDescent="0.25">
      <c r="B62" s="9" t="s">
        <v>65</v>
      </c>
      <c r="C62" s="9"/>
      <c r="D62" s="9"/>
      <c r="E62" s="77" t="s">
        <v>60</v>
      </c>
      <c r="F62" s="86">
        <f>ABS(F4)/(0.85*'Caratteristiche Materiale'!I24*0.8*'RESISTENZA MURATURA'!C5)</f>
        <v>0.24816176470588236</v>
      </c>
    </row>
    <row r="63" spans="2:6" s="3" customFormat="1" x14ac:dyDescent="0.25">
      <c r="B63" s="9" t="s">
        <v>63</v>
      </c>
      <c r="C63" s="9"/>
      <c r="D63" s="9"/>
      <c r="E63" s="77" t="s">
        <v>62</v>
      </c>
      <c r="F63" s="79">
        <f>0.85*'Caratteristiche Materiale'!I24*0.8*F62*C5</f>
        <v>250</v>
      </c>
    </row>
    <row r="64" spans="2:6" s="3" customFormat="1" x14ac:dyDescent="0.25">
      <c r="B64" s="9" t="s">
        <v>66</v>
      </c>
      <c r="C64" s="9"/>
      <c r="D64" s="9"/>
      <c r="E64" s="77" t="s">
        <v>2</v>
      </c>
      <c r="F64" s="87">
        <f>(C6/2-0.4*F62)*ABS(F4)</f>
        <v>50.183823529411761</v>
      </c>
    </row>
    <row r="65" spans="2:6" ht="15.75" x14ac:dyDescent="0.25">
      <c r="B65" s="9" t="s">
        <v>1</v>
      </c>
      <c r="C65" s="9"/>
      <c r="D65" s="9"/>
      <c r="E65" s="77" t="s">
        <v>1</v>
      </c>
      <c r="F65" s="88" t="str">
        <f>IF(F64&gt;=F7, "verificato", "NON VERIFICATO")</f>
        <v>verificato</v>
      </c>
    </row>
    <row r="66" spans="2:6" s="3" customFormat="1" x14ac:dyDescent="0.25">
      <c r="B66" s="9"/>
      <c r="C66" s="9"/>
      <c r="D66" s="9"/>
      <c r="E66" s="9"/>
      <c r="F66" s="9"/>
    </row>
    <row r="67" spans="2:6" x14ac:dyDescent="0.25">
      <c r="B67" s="9"/>
      <c r="C67" s="9"/>
      <c r="D67" s="9"/>
      <c r="E67" s="9"/>
      <c r="F67" s="9"/>
    </row>
    <row r="68" spans="2:6" x14ac:dyDescent="0.25">
      <c r="B68" s="9"/>
      <c r="C68" s="9"/>
      <c r="D68" s="9"/>
      <c r="E68" s="9"/>
      <c r="F68" s="9"/>
    </row>
    <row r="69" spans="2:6" x14ac:dyDescent="0.25">
      <c r="B69" s="9"/>
      <c r="C69" s="9"/>
      <c r="D69" s="9"/>
      <c r="E69" s="9"/>
      <c r="F69" s="9"/>
    </row>
    <row r="70" spans="2:6" x14ac:dyDescent="0.25">
      <c r="B70" s="9"/>
      <c r="C70" s="9"/>
      <c r="D70" s="9"/>
      <c r="E70" s="9"/>
      <c r="F70" s="9"/>
    </row>
    <row r="71" spans="2:6" x14ac:dyDescent="0.25">
      <c r="B71" s="9"/>
      <c r="C71" s="9"/>
      <c r="D71" s="9"/>
      <c r="E71" s="9"/>
      <c r="F71" s="9"/>
    </row>
    <row r="72" spans="2:6" x14ac:dyDescent="0.25">
      <c r="B72" s="9"/>
      <c r="C72" s="9"/>
      <c r="D72" s="9"/>
      <c r="E72" s="9"/>
      <c r="F72" s="9"/>
    </row>
    <row r="73" spans="2:6" x14ac:dyDescent="0.25">
      <c r="B73" s="9"/>
      <c r="C73" s="9"/>
      <c r="D73" s="9"/>
      <c r="E73" s="9"/>
      <c r="F73" s="9"/>
    </row>
    <row r="74" spans="2:6" x14ac:dyDescent="0.25">
      <c r="B74" s="9"/>
      <c r="C74" s="9"/>
      <c r="D74" s="9"/>
      <c r="E74" s="9"/>
      <c r="F74" s="9"/>
    </row>
    <row r="75" spans="2:6" x14ac:dyDescent="0.25">
      <c r="B75" s="9"/>
      <c r="C75" s="9"/>
      <c r="D75" s="9"/>
      <c r="E75" s="9"/>
      <c r="F75" s="9"/>
    </row>
    <row r="76" spans="2:6" x14ac:dyDescent="0.25">
      <c r="B76" s="9"/>
      <c r="C76" s="9"/>
      <c r="D76" s="9"/>
      <c r="E76" s="9"/>
      <c r="F76" s="9"/>
    </row>
    <row r="77" spans="2:6" x14ac:dyDescent="0.25">
      <c r="B77" s="9"/>
      <c r="C77" s="9"/>
      <c r="D77" s="9"/>
      <c r="E77" s="9"/>
      <c r="F77" s="9"/>
    </row>
    <row r="78" spans="2:6" x14ac:dyDescent="0.25">
      <c r="B78" s="9"/>
      <c r="C78" s="9"/>
      <c r="D78" s="9"/>
      <c r="E78" s="9"/>
      <c r="F78" s="9"/>
    </row>
    <row r="79" spans="2:6" x14ac:dyDescent="0.25">
      <c r="B79" s="9"/>
      <c r="C79" s="9"/>
      <c r="D79" s="9"/>
      <c r="E79" s="9"/>
      <c r="F79" s="9"/>
    </row>
    <row r="80" spans="2:6" x14ac:dyDescent="0.25">
      <c r="B80" s="9"/>
      <c r="C80" s="9"/>
      <c r="D80" s="9"/>
      <c r="E80" s="9"/>
      <c r="F80" s="9"/>
    </row>
    <row r="81" spans="2:6" x14ac:dyDescent="0.25">
      <c r="B81" s="9"/>
      <c r="C81" s="9"/>
      <c r="D81" s="9"/>
      <c r="E81" s="9"/>
      <c r="F81" s="9"/>
    </row>
    <row r="82" spans="2:6" x14ac:dyDescent="0.25">
      <c r="B82" s="9"/>
      <c r="C82" s="9"/>
      <c r="D82" s="9"/>
      <c r="E82" s="9"/>
      <c r="F82" s="9"/>
    </row>
    <row r="83" spans="2:6" x14ac:dyDescent="0.25">
      <c r="B83" s="9"/>
      <c r="C83" s="9"/>
      <c r="D83" s="9"/>
      <c r="E83" s="9"/>
      <c r="F83" s="9"/>
    </row>
    <row r="84" spans="2:6" x14ac:dyDescent="0.25">
      <c r="B84" s="9"/>
      <c r="C84" s="9"/>
      <c r="D84" s="9"/>
      <c r="E84" s="9"/>
      <c r="F84" s="9"/>
    </row>
    <row r="85" spans="2:6" x14ac:dyDescent="0.25">
      <c r="B85" s="9"/>
      <c r="C85" s="9"/>
      <c r="D85" s="9"/>
      <c r="E85" s="9"/>
      <c r="F85" s="9"/>
    </row>
    <row r="86" spans="2:6" x14ac:dyDescent="0.25">
      <c r="B86" s="9"/>
      <c r="C86" s="9"/>
      <c r="D86" s="9"/>
      <c r="E86" s="9"/>
      <c r="F86" s="9"/>
    </row>
    <row r="87" spans="2:6" x14ac:dyDescent="0.25">
      <c r="B87" s="9"/>
      <c r="C87" s="9"/>
      <c r="D87" s="9"/>
      <c r="E87" s="9"/>
      <c r="F87" s="9"/>
    </row>
    <row r="88" spans="2:6" x14ac:dyDescent="0.25">
      <c r="B88" s="9"/>
      <c r="C88" s="9"/>
      <c r="D88" s="9"/>
      <c r="E88" s="9"/>
      <c r="F88" s="9"/>
    </row>
    <row r="89" spans="2:6" x14ac:dyDescent="0.25">
      <c r="B89" s="9"/>
      <c r="C89" s="9"/>
      <c r="D89" s="9"/>
      <c r="E89" s="9"/>
      <c r="F89" s="9"/>
    </row>
    <row r="90" spans="2:6" x14ac:dyDescent="0.25">
      <c r="B90" s="9"/>
      <c r="C90" s="9"/>
      <c r="D90" s="9"/>
      <c r="E90" s="9"/>
      <c r="F90" s="9"/>
    </row>
    <row r="91" spans="2:6" x14ac:dyDescent="0.25">
      <c r="B91" s="9"/>
      <c r="C91" s="9"/>
      <c r="D91" s="9"/>
      <c r="E91" s="9"/>
      <c r="F91" s="9"/>
    </row>
    <row r="92" spans="2:6" x14ac:dyDescent="0.25">
      <c r="B92" s="172" t="s">
        <v>95</v>
      </c>
      <c r="C92" s="172"/>
      <c r="D92" s="172"/>
      <c r="E92" s="172"/>
      <c r="F92" s="172"/>
    </row>
    <row r="93" spans="2:6" x14ac:dyDescent="0.25">
      <c r="B93" s="9"/>
      <c r="C93" s="9"/>
      <c r="D93" s="9"/>
      <c r="E93" s="9"/>
      <c r="F93" s="9"/>
    </row>
    <row r="94" spans="2:6" x14ac:dyDescent="0.25">
      <c r="B94" s="9" t="s">
        <v>64</v>
      </c>
      <c r="C94" s="9"/>
      <c r="D94" s="9"/>
      <c r="E94" s="84" t="s">
        <v>61</v>
      </c>
      <c r="F94" s="85">
        <f>F61</f>
        <v>-104.16666666666667</v>
      </c>
    </row>
    <row r="95" spans="2:6" ht="18.75" x14ac:dyDescent="0.25">
      <c r="B95" s="9" t="s">
        <v>87</v>
      </c>
      <c r="C95" s="9"/>
      <c r="D95" s="9"/>
      <c r="E95" s="84" t="s">
        <v>14</v>
      </c>
      <c r="F95" s="85">
        <f>'Caratteristiche Materiale'!I24</f>
        <v>370.37037037037032</v>
      </c>
    </row>
    <row r="96" spans="2:6" s="3" customFormat="1" ht="15.75" x14ac:dyDescent="0.25">
      <c r="B96" s="9" t="s">
        <v>1</v>
      </c>
      <c r="C96" s="9"/>
      <c r="D96" s="9"/>
      <c r="E96" s="77" t="s">
        <v>1</v>
      </c>
      <c r="F96" s="88" t="str">
        <f>IF(F95&gt;=ABS(F94), "verificato", "NON VERIFICATO")</f>
        <v>verificato</v>
      </c>
    </row>
  </sheetData>
  <sheetProtection algorithmName="SHA-512" hashValue="a2Lox0Uii86DxM7tReB2Nl6QTc2C1QBFcz6MbkFggpvLeSKwdpGZmdN367j8h/wqvRwYtXfVTsWzIPEqCvD1Ng==" saltValue="99+u5E03o7IigQL4PLJOMA==" spinCount="100000" sheet="1" objects="1" scenarios="1"/>
  <customSheetViews>
    <customSheetView guid="{008C3BE6-8B52-467A-965A-EFB0ED2F4BF4}" scale="90" showGridLines="0" fitToPage="1">
      <selection activeCell="L64" sqref="L64"/>
      <pageMargins left="0.98425196850393704" right="0.39370078740157483" top="0.74803149606299213" bottom="0.74803149606299213" header="0.31496062992125984" footer="0.31496062992125984"/>
      <pageSetup paperSize="9" scale="87" fitToHeight="0" orientation="portrait" r:id="rId1"/>
    </customSheetView>
    <customSheetView guid="{DD657959-DBA4-44AA-BD36-35D76D92C4C8}" scale="90" showGridLines="0" showRowCol="0" fitToPage="1">
      <selection activeCell="B2" sqref="B2:F2"/>
      <pageMargins left="0.98425196850393704" right="0.39370078740157483" top="0.74803149606299213" bottom="0.74803149606299213" header="0.31496062992125984" footer="0.31496062992125984"/>
      <pageSetup paperSize="9" scale="87" fitToHeight="0" orientation="portrait" r:id="rId2"/>
    </customSheetView>
    <customSheetView guid="{4F428F85-A986-464A-BD5B-D43EDDD1A16A}" scale="90" showGridLines="0" fitToPage="1">
      <selection activeCell="F62" sqref="F62"/>
      <pageMargins left="0.98425196850393704" right="0.39370078740157483" top="0.74803149606299213" bottom="0.74803149606299213" header="0.31496062992125984" footer="0.31496062992125984"/>
      <pageSetup paperSize="9" scale="87" fitToHeight="0" orientation="portrait" r:id="rId3"/>
    </customSheetView>
    <customSheetView guid="{F017CC66-3157-4857-B035-5B775CD5B9B9}" scale="90" showGridLines="0" fitToPage="1">
      <selection activeCell="F62" sqref="F62"/>
      <pageMargins left="0.98425196850393704" right="0.39370078740157483" top="0.74803149606299213" bottom="0.74803149606299213" header="0.31496062992125984" footer="0.31496062992125984"/>
      <pageSetup paperSize="9" scale="87" fitToHeight="0" orientation="portrait" r:id="rId4"/>
    </customSheetView>
  </customSheetViews>
  <mergeCells count="5">
    <mergeCell ref="B2:F2"/>
    <mergeCell ref="B44:F44"/>
    <mergeCell ref="B9:F9"/>
    <mergeCell ref="B59:F59"/>
    <mergeCell ref="B92:F92"/>
  </mergeCells>
  <conditionalFormatting sqref="F15">
    <cfRule type="cellIs" dxfId="9" priority="19" operator="equal">
      <formula>"verificato"</formula>
    </cfRule>
  </conditionalFormatting>
  <conditionalFormatting sqref="F11">
    <cfRule type="cellIs" dxfId="8" priority="17" operator="equal">
      <formula>0</formula>
    </cfRule>
  </conditionalFormatting>
  <conditionalFormatting sqref="F51">
    <cfRule type="cellIs" dxfId="7" priority="13" operator="equal">
      <formula>"verificato"</formula>
    </cfRule>
  </conditionalFormatting>
  <conditionalFormatting sqref="F65">
    <cfRule type="cellIs" dxfId="6" priority="7" operator="equal">
      <formula>"verificato"</formula>
    </cfRule>
  </conditionalFormatting>
  <conditionalFormatting sqref="F61">
    <cfRule type="cellIs" dxfId="5" priority="6" operator="equal">
      <formula>0</formula>
    </cfRule>
  </conditionalFormatting>
  <conditionalFormatting sqref="F47:F48">
    <cfRule type="cellIs" dxfId="4" priority="5" operator="equal">
      <formula>0</formula>
    </cfRule>
  </conditionalFormatting>
  <conditionalFormatting sqref="F49">
    <cfRule type="cellIs" dxfId="3" priority="4" operator="equal">
      <formula>0</formula>
    </cfRule>
  </conditionalFormatting>
  <conditionalFormatting sqref="F94">
    <cfRule type="cellIs" dxfId="2" priority="3" operator="equal">
      <formula>0</formula>
    </cfRule>
  </conditionalFormatting>
  <conditionalFormatting sqref="F95">
    <cfRule type="cellIs" dxfId="1" priority="2" operator="equal">
      <formula>0</formula>
    </cfRule>
  </conditionalFormatting>
  <conditionalFormatting sqref="F96">
    <cfRule type="cellIs" dxfId="0" priority="1" operator="equal">
      <formula>"verificato"</formula>
    </cfRule>
  </conditionalFormatting>
  <pageMargins left="0.98425196850393704" right="0.39370078740157483" top="0.74803149606299213" bottom="0.74803149606299213" header="0.31496062992125984" footer="0.31496062992125984"/>
  <pageSetup paperSize="9" scale="87" fitToHeight="0"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showGridLines="0" workbookViewId="0">
      <selection activeCell="B2" sqref="B2:O2"/>
    </sheetView>
  </sheetViews>
  <sheetFormatPr defaultColWidth="9.140625" defaultRowHeight="15" x14ac:dyDescent="0.25"/>
  <cols>
    <col min="1" max="1" width="3.42578125" style="3" customWidth="1"/>
    <col min="2" max="9" width="9.140625" style="3"/>
    <col min="10" max="10" width="15.7109375" style="3" customWidth="1"/>
    <col min="11" max="13" width="9.140625" style="3"/>
    <col min="14" max="14" width="11.140625" style="3" customWidth="1"/>
    <col min="15" max="15" width="13.5703125" style="3" bestFit="1" customWidth="1"/>
    <col min="16" max="16" width="9.140625" style="3"/>
    <col min="17" max="17" width="14.7109375" style="3" customWidth="1"/>
    <col min="18" max="16384" width="9.140625" style="3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176" t="s">
        <v>119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9"/>
      <c r="Q2" s="9"/>
    </row>
    <row r="3" spans="1:17" ht="15.75" thickBot="1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ht="20.25" thickTop="1" thickBot="1" x14ac:dyDescent="0.3">
      <c r="A4" s="9"/>
      <c r="B4" s="9" t="s">
        <v>117</v>
      </c>
      <c r="C4" s="9"/>
      <c r="D4" s="9"/>
      <c r="E4" s="9"/>
      <c r="F4" s="9"/>
      <c r="G4" s="9"/>
      <c r="H4" s="50" t="s">
        <v>111</v>
      </c>
      <c r="I4" s="69">
        <v>-1.8E-3</v>
      </c>
      <c r="J4" s="51" t="s">
        <v>109</v>
      </c>
      <c r="K4" s="9"/>
      <c r="L4" s="9"/>
      <c r="M4" s="9"/>
      <c r="N4" s="9"/>
      <c r="O4" s="9"/>
      <c r="P4" s="9"/>
      <c r="Q4" s="9"/>
    </row>
    <row r="5" spans="1:17" ht="20.25" thickTop="1" thickBot="1" x14ac:dyDescent="0.3">
      <c r="A5" s="9"/>
      <c r="B5" s="9" t="s">
        <v>118</v>
      </c>
      <c r="C5" s="9"/>
      <c r="D5" s="9"/>
      <c r="E5" s="9"/>
      <c r="F5" s="9"/>
      <c r="G5" s="9"/>
      <c r="H5" s="50" t="s">
        <v>110</v>
      </c>
      <c r="I5" s="69">
        <v>-3.0000000000000001E-3</v>
      </c>
      <c r="J5" s="51" t="s">
        <v>109</v>
      </c>
      <c r="K5" s="9"/>
      <c r="L5" s="9"/>
      <c r="M5" s="9"/>
      <c r="N5" s="9"/>
      <c r="O5" s="9"/>
      <c r="P5" s="9"/>
      <c r="Q5" s="9"/>
    </row>
    <row r="6" spans="1:17" ht="19.5" thickTop="1" x14ac:dyDescent="0.25">
      <c r="A6" s="9"/>
      <c r="B6" s="9" t="s">
        <v>87</v>
      </c>
      <c r="C6" s="9"/>
      <c r="D6" s="9"/>
      <c r="E6" s="9"/>
      <c r="F6" s="9"/>
      <c r="G6" s="9"/>
      <c r="H6" s="52" t="s">
        <v>14</v>
      </c>
      <c r="I6" s="53">
        <f>-'Caratteristiche Materiale'!I24</f>
        <v>-370.37037037037032</v>
      </c>
      <c r="J6" s="51" t="s">
        <v>101</v>
      </c>
      <c r="K6" s="9"/>
      <c r="L6" s="9"/>
      <c r="M6" s="9"/>
      <c r="N6" s="9"/>
      <c r="O6" s="9"/>
      <c r="P6" s="9"/>
      <c r="Q6" s="9"/>
    </row>
    <row r="7" spans="1:17" x14ac:dyDescent="0.25">
      <c r="A7" s="9"/>
      <c r="B7" s="9" t="s">
        <v>90</v>
      </c>
      <c r="C7" s="9"/>
      <c r="D7" s="9"/>
      <c r="E7" s="9"/>
      <c r="F7" s="9"/>
      <c r="G7" s="9"/>
      <c r="H7" s="54" t="s">
        <v>50</v>
      </c>
      <c r="I7" s="51">
        <f>'Caratteristiche Materiale'!I28*1000</f>
        <v>870000</v>
      </c>
      <c r="J7" s="51" t="s">
        <v>101</v>
      </c>
      <c r="K7" s="9"/>
      <c r="L7" s="9"/>
      <c r="M7" s="9"/>
      <c r="N7" s="9"/>
      <c r="O7" s="9"/>
      <c r="P7" s="9"/>
      <c r="Q7" s="9"/>
    </row>
    <row r="8" spans="1:17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x14ac:dyDescent="0.25">
      <c r="A9" s="9"/>
      <c r="B9" s="55"/>
      <c r="C9" s="184" t="s">
        <v>116</v>
      </c>
      <c r="D9" s="185"/>
      <c r="E9" s="184" t="s">
        <v>115</v>
      </c>
      <c r="F9" s="185"/>
      <c r="G9" s="184" t="s">
        <v>122</v>
      </c>
      <c r="H9" s="185"/>
      <c r="I9" s="9"/>
      <c r="J9" s="9"/>
      <c r="K9" s="9"/>
      <c r="L9" s="9"/>
      <c r="M9" s="9"/>
      <c r="N9" s="9"/>
      <c r="O9" s="9"/>
      <c r="P9" s="9"/>
      <c r="Q9" s="9"/>
    </row>
    <row r="10" spans="1:17" ht="21" x14ac:dyDescent="0.25">
      <c r="A10" s="9"/>
      <c r="B10" s="56"/>
      <c r="C10" s="57" t="s">
        <v>113</v>
      </c>
      <c r="D10" s="58" t="s">
        <v>112</v>
      </c>
      <c r="E10" s="57" t="s">
        <v>113</v>
      </c>
      <c r="F10" s="58" t="s">
        <v>112</v>
      </c>
      <c r="G10" s="57" t="s">
        <v>113</v>
      </c>
      <c r="H10" s="58" t="s">
        <v>112</v>
      </c>
      <c r="I10" s="9"/>
      <c r="J10" s="9"/>
      <c r="K10" s="9"/>
      <c r="L10" s="9"/>
      <c r="M10" s="9"/>
      <c r="N10" s="9"/>
      <c r="O10" s="9"/>
      <c r="P10" s="9"/>
      <c r="Q10" s="9"/>
    </row>
    <row r="11" spans="1:17" x14ac:dyDescent="0.25">
      <c r="A11" s="9"/>
      <c r="B11" s="59">
        <v>0</v>
      </c>
      <c r="C11" s="59">
        <v>0</v>
      </c>
      <c r="D11" s="60">
        <v>0</v>
      </c>
      <c r="E11" s="61">
        <f t="shared" ref="E11:E19" si="0">$I$4/8*B11</f>
        <v>0</v>
      </c>
      <c r="F11" s="59">
        <f t="shared" ref="F11:F19" si="1">2*$I$6*(E11/$I$4)-$I$6*(E11/$I$4)^2</f>
        <v>0</v>
      </c>
      <c r="G11" s="62">
        <f>I4</f>
        <v>-1.8E-3</v>
      </c>
      <c r="H11" s="60">
        <f t="shared" ref="H11:H19" si="2">2*$I$6*(G11/$I$4)-$I$6*(G11/$I$4)^2</f>
        <v>-370.37037037037032</v>
      </c>
      <c r="I11" s="9"/>
      <c r="J11" s="9"/>
      <c r="K11" s="9"/>
      <c r="L11" s="9"/>
      <c r="M11" s="9"/>
      <c r="N11" s="9"/>
      <c r="O11" s="9"/>
      <c r="P11" s="9"/>
      <c r="Q11" s="9"/>
    </row>
    <row r="12" spans="1:17" x14ac:dyDescent="0.25">
      <c r="A12" s="9"/>
      <c r="B12" s="59">
        <f t="shared" ref="B12:B19" si="3">B11+1</f>
        <v>1</v>
      </c>
      <c r="C12" s="59">
        <v>1.4999999999999999E-4</v>
      </c>
      <c r="D12" s="60">
        <f>I7*C12</f>
        <v>130.5</v>
      </c>
      <c r="E12" s="61">
        <f t="shared" si="0"/>
        <v>-2.2499999999999999E-4</v>
      </c>
      <c r="F12" s="60">
        <f t="shared" si="1"/>
        <v>-86.805555555555543</v>
      </c>
      <c r="G12" s="62">
        <f t="shared" ref="G12:G18" si="4">G11+($G$19-$G$11)/8</f>
        <v>-1.9499999999999999E-3</v>
      </c>
      <c r="H12" s="60">
        <f t="shared" si="2"/>
        <v>-367.79835390946494</v>
      </c>
      <c r="I12" s="9"/>
      <c r="J12" s="9"/>
      <c r="K12" s="9"/>
      <c r="L12" s="9"/>
      <c r="M12" s="9"/>
      <c r="N12" s="9"/>
      <c r="O12" s="9"/>
      <c r="P12" s="9"/>
      <c r="Q12" s="9"/>
    </row>
    <row r="13" spans="1:17" x14ac:dyDescent="0.25">
      <c r="A13" s="9"/>
      <c r="B13" s="59">
        <f t="shared" si="3"/>
        <v>2</v>
      </c>
      <c r="C13" s="59">
        <v>1.5E-3</v>
      </c>
      <c r="D13" s="60">
        <v>0</v>
      </c>
      <c r="E13" s="61">
        <f t="shared" si="0"/>
        <v>-4.4999999999999999E-4</v>
      </c>
      <c r="F13" s="60">
        <f t="shared" si="1"/>
        <v>-162.03703703703701</v>
      </c>
      <c r="G13" s="62">
        <f t="shared" si="4"/>
        <v>-2.0999999999999999E-3</v>
      </c>
      <c r="H13" s="60">
        <f t="shared" si="2"/>
        <v>-360.082304526749</v>
      </c>
      <c r="I13" s="9"/>
      <c r="J13" s="9"/>
      <c r="K13" s="9"/>
      <c r="L13" s="9"/>
      <c r="M13" s="9"/>
      <c r="N13" s="9"/>
      <c r="O13" s="9"/>
      <c r="P13" s="9"/>
      <c r="Q13" s="9"/>
    </row>
    <row r="14" spans="1:17" x14ac:dyDescent="0.25">
      <c r="A14" s="9"/>
      <c r="B14" s="59">
        <f t="shared" si="3"/>
        <v>3</v>
      </c>
      <c r="C14" s="59"/>
      <c r="D14" s="60"/>
      <c r="E14" s="61">
        <f t="shared" si="0"/>
        <v>-6.7500000000000004E-4</v>
      </c>
      <c r="F14" s="60">
        <f t="shared" si="1"/>
        <v>-225.69444444444443</v>
      </c>
      <c r="G14" s="62">
        <f t="shared" si="4"/>
        <v>-2.2499999999999998E-3</v>
      </c>
      <c r="H14" s="60">
        <f t="shared" si="2"/>
        <v>-347.22222222222229</v>
      </c>
      <c r="I14" s="9"/>
      <c r="J14" s="9"/>
      <c r="K14" s="9"/>
      <c r="L14" s="9"/>
      <c r="M14" s="9"/>
      <c r="N14" s="9"/>
      <c r="O14" s="9"/>
      <c r="P14" s="9"/>
      <c r="Q14" s="9"/>
    </row>
    <row r="15" spans="1:17" x14ac:dyDescent="0.25">
      <c r="A15" s="9"/>
      <c r="B15" s="59">
        <f t="shared" si="3"/>
        <v>4</v>
      </c>
      <c r="C15" s="59"/>
      <c r="D15" s="60"/>
      <c r="E15" s="61">
        <f t="shared" si="0"/>
        <v>-8.9999999999999998E-4</v>
      </c>
      <c r="F15" s="60">
        <f t="shared" si="1"/>
        <v>-277.77777777777771</v>
      </c>
      <c r="G15" s="62">
        <f t="shared" si="4"/>
        <v>-2.3999999999999998E-3</v>
      </c>
      <c r="H15" s="60">
        <f t="shared" si="2"/>
        <v>-329.21810699588468</v>
      </c>
      <c r="I15" s="9"/>
      <c r="J15" s="9"/>
      <c r="K15" s="9"/>
      <c r="L15" s="9"/>
      <c r="M15" s="9"/>
      <c r="N15" s="9"/>
      <c r="O15" s="9"/>
      <c r="P15" s="9"/>
      <c r="Q15" s="9"/>
    </row>
    <row r="16" spans="1:17" x14ac:dyDescent="0.25">
      <c r="A16" s="9"/>
      <c r="B16" s="59">
        <f t="shared" si="3"/>
        <v>5</v>
      </c>
      <c r="C16" s="59"/>
      <c r="D16" s="60"/>
      <c r="E16" s="61">
        <f t="shared" si="0"/>
        <v>-1.1249999999999999E-3</v>
      </c>
      <c r="F16" s="60">
        <f t="shared" si="1"/>
        <v>-318.28703703703707</v>
      </c>
      <c r="G16" s="62">
        <f t="shared" si="4"/>
        <v>-2.5499999999999997E-3</v>
      </c>
      <c r="H16" s="60">
        <f t="shared" si="2"/>
        <v>-306.06995884773653</v>
      </c>
      <c r="I16" s="9"/>
      <c r="J16" s="9"/>
      <c r="K16" s="9"/>
      <c r="L16" s="9"/>
      <c r="M16" s="9"/>
      <c r="N16" s="9"/>
      <c r="O16" s="9"/>
      <c r="P16" s="9"/>
      <c r="Q16" s="9"/>
    </row>
    <row r="17" spans="1:21" x14ac:dyDescent="0.25">
      <c r="A17" s="9"/>
      <c r="B17" s="59">
        <f t="shared" si="3"/>
        <v>6</v>
      </c>
      <c r="C17" s="59"/>
      <c r="D17" s="60"/>
      <c r="E17" s="61">
        <f t="shared" si="0"/>
        <v>-1.3500000000000001E-3</v>
      </c>
      <c r="F17" s="60">
        <f t="shared" si="1"/>
        <v>-347.22222222222217</v>
      </c>
      <c r="G17" s="62">
        <f t="shared" si="4"/>
        <v>-2.6999999999999997E-3</v>
      </c>
      <c r="H17" s="60">
        <f t="shared" si="2"/>
        <v>-277.77777777777794</v>
      </c>
      <c r="I17" s="9"/>
      <c r="J17" s="9"/>
      <c r="K17" s="9"/>
      <c r="L17" s="9"/>
      <c r="M17" s="9"/>
      <c r="N17" s="9"/>
      <c r="O17" s="9"/>
      <c r="P17" s="9"/>
      <c r="Q17" s="9"/>
    </row>
    <row r="18" spans="1:21" x14ac:dyDescent="0.25">
      <c r="A18" s="9"/>
      <c r="B18" s="59">
        <f t="shared" si="3"/>
        <v>7</v>
      </c>
      <c r="C18" s="59"/>
      <c r="D18" s="59"/>
      <c r="E18" s="61">
        <f t="shared" si="0"/>
        <v>-1.575E-3</v>
      </c>
      <c r="F18" s="60">
        <f t="shared" si="1"/>
        <v>-364.58333333333326</v>
      </c>
      <c r="G18" s="62">
        <f t="shared" si="4"/>
        <v>-2.8499999999999997E-3</v>
      </c>
      <c r="H18" s="60">
        <f t="shared" si="2"/>
        <v>-244.34156378600824</v>
      </c>
      <c r="I18" s="9"/>
      <c r="J18" s="9"/>
      <c r="K18" s="9"/>
      <c r="L18" s="9"/>
      <c r="M18" s="9"/>
      <c r="N18" s="9"/>
      <c r="O18" s="9"/>
      <c r="P18" s="9"/>
      <c r="Q18" s="9"/>
    </row>
    <row r="19" spans="1:21" x14ac:dyDescent="0.25">
      <c r="A19" s="9"/>
      <c r="B19" s="59">
        <f t="shared" si="3"/>
        <v>8</v>
      </c>
      <c r="C19" s="59"/>
      <c r="D19" s="59"/>
      <c r="E19" s="61">
        <f t="shared" si="0"/>
        <v>-1.8E-3</v>
      </c>
      <c r="F19" s="60">
        <f t="shared" si="1"/>
        <v>-370.37037037037032</v>
      </c>
      <c r="G19" s="62">
        <f>I5</f>
        <v>-3.0000000000000001E-3</v>
      </c>
      <c r="H19" s="60">
        <f t="shared" si="2"/>
        <v>-205.76131687242787</v>
      </c>
      <c r="I19" s="9"/>
      <c r="J19" s="9"/>
      <c r="K19" s="9"/>
      <c r="L19" s="9"/>
      <c r="M19" s="9"/>
      <c r="N19" s="9"/>
      <c r="O19" s="9"/>
      <c r="P19" s="9"/>
      <c r="Q19" s="9"/>
    </row>
    <row r="20" spans="1:2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63"/>
      <c r="R20" s="39"/>
    </row>
    <row r="21" spans="1:21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63"/>
      <c r="R21" s="39"/>
    </row>
    <row r="22" spans="1:21" x14ac:dyDescent="0.25">
      <c r="A22" s="9"/>
      <c r="B22" s="9" t="s">
        <v>120</v>
      </c>
      <c r="C22" s="9"/>
      <c r="D22" s="9"/>
      <c r="E22" s="9"/>
      <c r="F22" s="9"/>
      <c r="G22" s="9"/>
      <c r="H22" s="64" t="s">
        <v>108</v>
      </c>
      <c r="I22" s="65">
        <f>(F12/E12)*10^-3</f>
        <v>385.80246913580243</v>
      </c>
      <c r="J22" s="64" t="s">
        <v>104</v>
      </c>
      <c r="K22" s="9"/>
      <c r="L22" s="9"/>
      <c r="M22" s="9"/>
      <c r="N22" s="9"/>
      <c r="O22" s="9"/>
      <c r="P22" s="9"/>
      <c r="Q22" s="63"/>
      <c r="R22" s="39"/>
    </row>
    <row r="23" spans="1:21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63"/>
      <c r="R23" s="39"/>
    </row>
    <row r="24" spans="1:21" x14ac:dyDescent="0.25">
      <c r="A24" s="9"/>
      <c r="B24" s="9" t="s">
        <v>121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63"/>
      <c r="R24" s="39"/>
    </row>
    <row r="25" spans="1:21" x14ac:dyDescent="0.25">
      <c r="A25" s="9"/>
      <c r="B25" s="9"/>
      <c r="C25" s="9"/>
      <c r="D25" s="9"/>
      <c r="E25" s="9"/>
      <c r="F25" s="9"/>
      <c r="G25" s="146" t="s">
        <v>107</v>
      </c>
      <c r="H25" s="146"/>
      <c r="I25" s="65">
        <f>-0.4*(-I6)/(I4-I4*(0.6)^0.5)*10^-3</f>
        <v>365.14334758055213</v>
      </c>
      <c r="J25" s="64" t="s">
        <v>104</v>
      </c>
      <c r="K25" s="9"/>
      <c r="L25" s="9"/>
      <c r="M25" s="9"/>
      <c r="N25" s="9"/>
      <c r="O25" s="9"/>
      <c r="P25" s="9"/>
      <c r="Q25" s="63"/>
      <c r="R25" s="39"/>
    </row>
    <row r="26" spans="1:21" x14ac:dyDescent="0.25">
      <c r="A26" s="9"/>
      <c r="B26" s="9"/>
      <c r="C26" s="9"/>
      <c r="D26" s="9"/>
      <c r="E26" s="9"/>
      <c r="F26" s="9"/>
      <c r="G26" s="146" t="s">
        <v>106</v>
      </c>
      <c r="H26" s="146"/>
      <c r="I26" s="65">
        <f>-0.2*(-I6)/(I4-I4*(0.8)^0.5)*10^-3</f>
        <v>389.79983353907704</v>
      </c>
      <c r="J26" s="64" t="s">
        <v>104</v>
      </c>
      <c r="K26" s="9"/>
      <c r="L26" s="9"/>
      <c r="M26" s="9"/>
      <c r="N26" s="9"/>
      <c r="O26" s="9"/>
      <c r="P26" s="9"/>
      <c r="Q26" s="63"/>
      <c r="R26" s="39"/>
    </row>
    <row r="27" spans="1:21" x14ac:dyDescent="0.25">
      <c r="A27" s="9"/>
      <c r="B27" s="9"/>
      <c r="C27" s="9"/>
      <c r="D27" s="9"/>
      <c r="E27" s="9"/>
      <c r="F27" s="9"/>
      <c r="G27" s="183" t="s">
        <v>105</v>
      </c>
      <c r="H27" s="183"/>
      <c r="I27" s="65">
        <f>(-0.4*(-I6)-(-0.2*(-I6)))/((I4-I4*(0.6)^0.5)-(I4-I4*(0.8)^0.5))*10^-3</f>
        <v>343.42054737477372</v>
      </c>
      <c r="J27" s="64" t="s">
        <v>104</v>
      </c>
      <c r="K27" s="9"/>
      <c r="L27" s="9"/>
      <c r="M27" s="9"/>
      <c r="N27" s="9"/>
      <c r="O27" s="9"/>
      <c r="P27" s="9"/>
      <c r="Q27" s="63"/>
      <c r="R27" s="39"/>
    </row>
    <row r="28" spans="1:2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63"/>
      <c r="R28" s="39"/>
    </row>
    <row r="29" spans="1:21" x14ac:dyDescent="0.25">
      <c r="A29" s="9"/>
      <c r="B29" s="9"/>
      <c r="C29" s="9"/>
      <c r="D29" s="9"/>
      <c r="E29" s="9"/>
      <c r="F29" s="9"/>
      <c r="G29" s="9"/>
      <c r="H29" s="63"/>
      <c r="I29" s="66"/>
      <c r="J29" s="9"/>
      <c r="K29" s="9"/>
      <c r="L29" s="9"/>
      <c r="M29" s="9"/>
      <c r="N29" s="9"/>
      <c r="O29" s="9"/>
      <c r="P29" s="9"/>
      <c r="Q29" s="63"/>
      <c r="R29" s="39"/>
      <c r="T29" s="40"/>
      <c r="U29" s="1"/>
    </row>
    <row r="30" spans="1:21" x14ac:dyDescent="0.25">
      <c r="A30" s="9"/>
      <c r="B30" s="9"/>
      <c r="C30" s="9"/>
      <c r="D30" s="9"/>
      <c r="E30" s="9"/>
      <c r="F30" s="9"/>
      <c r="G30" s="9"/>
      <c r="H30" s="63"/>
      <c r="I30" s="66"/>
      <c r="J30" s="9"/>
      <c r="K30" s="9"/>
      <c r="L30" s="9"/>
      <c r="M30" s="9"/>
      <c r="N30" s="146" t="s">
        <v>114</v>
      </c>
      <c r="O30" s="146"/>
      <c r="P30" s="9"/>
      <c r="Q30" s="63"/>
      <c r="R30" s="39"/>
      <c r="T30" s="40"/>
      <c r="U30" s="42"/>
    </row>
    <row r="31" spans="1:21" x14ac:dyDescent="0.25">
      <c r="A31" s="9"/>
      <c r="B31" s="9"/>
      <c r="C31" s="9"/>
      <c r="D31" s="9"/>
      <c r="E31" s="9"/>
      <c r="F31" s="9"/>
      <c r="G31" s="9"/>
      <c r="H31" s="63"/>
      <c r="I31" s="66"/>
      <c r="J31" s="9"/>
      <c r="K31" s="9"/>
      <c r="L31" s="9"/>
      <c r="M31" s="9"/>
      <c r="N31" s="62">
        <f>G19</f>
        <v>-3.0000000000000001E-3</v>
      </c>
      <c r="O31" s="67">
        <f>H19</f>
        <v>-205.76131687242787</v>
      </c>
      <c r="P31" s="9"/>
      <c r="Q31" s="63"/>
      <c r="R31" s="39"/>
      <c r="T31" s="40"/>
      <c r="U31" s="1"/>
    </row>
    <row r="32" spans="1:21" x14ac:dyDescent="0.25">
      <c r="A32" s="9"/>
      <c r="B32" s="9"/>
      <c r="C32" s="9"/>
      <c r="D32" s="9"/>
      <c r="E32" s="9"/>
      <c r="F32" s="9"/>
      <c r="G32" s="9"/>
      <c r="H32" s="63"/>
      <c r="I32" s="66"/>
      <c r="J32" s="9"/>
      <c r="K32" s="9"/>
      <c r="L32" s="9"/>
      <c r="M32" s="9"/>
      <c r="N32" s="62">
        <f>G18</f>
        <v>-2.8499999999999997E-3</v>
      </c>
      <c r="O32" s="67">
        <f>H18</f>
        <v>-244.34156378600824</v>
      </c>
      <c r="P32" s="9"/>
      <c r="Q32" s="63"/>
      <c r="R32" s="39"/>
      <c r="T32" s="1"/>
      <c r="U32" s="1"/>
    </row>
    <row r="33" spans="1:21" x14ac:dyDescent="0.25">
      <c r="A33" s="9"/>
      <c r="B33" s="9"/>
      <c r="C33" s="9"/>
      <c r="D33" s="9"/>
      <c r="E33" s="9"/>
      <c r="F33" s="9"/>
      <c r="G33" s="9"/>
      <c r="H33" s="63"/>
      <c r="I33" s="66"/>
      <c r="J33" s="9"/>
      <c r="K33" s="9"/>
      <c r="L33" s="9"/>
      <c r="M33" s="9"/>
      <c r="N33" s="62">
        <f>G17</f>
        <v>-2.6999999999999997E-3</v>
      </c>
      <c r="O33" s="67">
        <f>H17</f>
        <v>-277.77777777777794</v>
      </c>
      <c r="P33" s="9"/>
      <c r="Q33" s="63"/>
      <c r="R33" s="39"/>
      <c r="T33" s="40"/>
      <c r="U33" s="39"/>
    </row>
    <row r="34" spans="1:21" x14ac:dyDescent="0.25">
      <c r="A34" s="9"/>
      <c r="B34" s="9"/>
      <c r="C34" s="9"/>
      <c r="D34" s="9"/>
      <c r="E34" s="9"/>
      <c r="F34" s="9"/>
      <c r="G34" s="9"/>
      <c r="H34" s="63"/>
      <c r="I34" s="66"/>
      <c r="J34" s="9"/>
      <c r="K34" s="9"/>
      <c r="L34" s="9"/>
      <c r="M34" s="9"/>
      <c r="N34" s="62">
        <f>G16</f>
        <v>-2.5499999999999997E-3</v>
      </c>
      <c r="O34" s="67">
        <f>H16</f>
        <v>-306.06995884773653</v>
      </c>
      <c r="P34" s="9"/>
      <c r="Q34" s="63"/>
      <c r="R34" s="39"/>
      <c r="T34" s="40"/>
      <c r="U34" s="39"/>
    </row>
    <row r="35" spans="1:21" x14ac:dyDescent="0.25">
      <c r="A35" s="9"/>
      <c r="B35" s="9"/>
      <c r="C35" s="9"/>
      <c r="D35" s="9"/>
      <c r="E35" s="9"/>
      <c r="F35" s="9"/>
      <c r="G35" s="9"/>
      <c r="H35" s="63"/>
      <c r="I35" s="66"/>
      <c r="J35" s="9"/>
      <c r="K35" s="9"/>
      <c r="L35" s="9"/>
      <c r="M35" s="9"/>
      <c r="N35" s="62">
        <f>G15</f>
        <v>-2.3999999999999998E-3</v>
      </c>
      <c r="O35" s="67">
        <f>H15</f>
        <v>-329.21810699588468</v>
      </c>
      <c r="P35" s="9"/>
      <c r="Q35" s="63"/>
      <c r="R35" s="39"/>
      <c r="T35" s="40"/>
      <c r="U35" s="39"/>
    </row>
    <row r="36" spans="1:21" x14ac:dyDescent="0.25">
      <c r="A36" s="9"/>
      <c r="B36" s="9"/>
      <c r="C36" s="9"/>
      <c r="D36" s="9"/>
      <c r="E36" s="9"/>
      <c r="F36" s="9"/>
      <c r="G36" s="9"/>
      <c r="H36" s="63"/>
      <c r="I36" s="66"/>
      <c r="J36" s="9"/>
      <c r="K36" s="9"/>
      <c r="L36" s="9"/>
      <c r="M36" s="9"/>
      <c r="N36" s="62">
        <f>G14</f>
        <v>-2.2499999999999998E-3</v>
      </c>
      <c r="O36" s="67">
        <f>H14</f>
        <v>-347.22222222222229</v>
      </c>
      <c r="P36" s="9"/>
      <c r="Q36" s="63"/>
      <c r="R36" s="1"/>
      <c r="T36" s="40"/>
      <c r="U36" s="1"/>
    </row>
    <row r="37" spans="1:21" x14ac:dyDescent="0.25">
      <c r="A37" s="9"/>
      <c r="B37" s="9"/>
      <c r="C37" s="9"/>
      <c r="D37" s="9"/>
      <c r="E37" s="9"/>
      <c r="F37" s="9"/>
      <c r="G37" s="9"/>
      <c r="H37" s="63"/>
      <c r="I37" s="66"/>
      <c r="J37" s="9"/>
      <c r="K37" s="9"/>
      <c r="L37" s="9"/>
      <c r="M37" s="9"/>
      <c r="N37" s="62">
        <f>G13</f>
        <v>-2.0999999999999999E-3</v>
      </c>
      <c r="O37" s="67">
        <f>H13</f>
        <v>-360.082304526749</v>
      </c>
      <c r="P37" s="9"/>
      <c r="Q37" s="63"/>
      <c r="R37" s="42"/>
      <c r="T37" s="40"/>
      <c r="U37" s="42"/>
    </row>
    <row r="38" spans="1:21" x14ac:dyDescent="0.25">
      <c r="A38" s="9"/>
      <c r="B38" s="9"/>
      <c r="C38" s="9"/>
      <c r="D38" s="9"/>
      <c r="E38" s="9"/>
      <c r="F38" s="9"/>
      <c r="G38" s="9"/>
      <c r="H38" s="63"/>
      <c r="I38" s="66"/>
      <c r="J38" s="9"/>
      <c r="K38" s="9"/>
      <c r="L38" s="9"/>
      <c r="M38" s="9"/>
      <c r="N38" s="62">
        <f>G12</f>
        <v>-1.9499999999999999E-3</v>
      </c>
      <c r="O38" s="67">
        <f>H12</f>
        <v>-367.79835390946494</v>
      </c>
      <c r="P38" s="9"/>
      <c r="Q38" s="63"/>
      <c r="R38" s="1"/>
      <c r="T38" s="40"/>
      <c r="U38" s="1"/>
    </row>
    <row r="39" spans="1:21" x14ac:dyDescent="0.25">
      <c r="A39" s="9"/>
      <c r="B39" s="9"/>
      <c r="C39" s="9"/>
      <c r="D39" s="9"/>
      <c r="E39" s="9"/>
      <c r="F39" s="9"/>
      <c r="G39" s="9"/>
      <c r="H39" s="63"/>
      <c r="I39" s="66"/>
      <c r="J39" s="9"/>
      <c r="K39" s="9"/>
      <c r="L39" s="9"/>
      <c r="M39" s="9"/>
      <c r="N39" s="62">
        <f>E19</f>
        <v>-1.8E-3</v>
      </c>
      <c r="O39" s="67">
        <f>F19</f>
        <v>-370.37037037037032</v>
      </c>
      <c r="P39" s="9"/>
      <c r="Q39" s="51"/>
      <c r="R39" s="1"/>
      <c r="T39" s="1"/>
      <c r="U39" s="1"/>
    </row>
    <row r="40" spans="1:21" x14ac:dyDescent="0.25">
      <c r="A40" s="9"/>
      <c r="B40" s="9"/>
      <c r="C40" s="9"/>
      <c r="D40" s="9"/>
      <c r="E40" s="9"/>
      <c r="F40" s="9"/>
      <c r="G40" s="9"/>
      <c r="H40" s="63"/>
      <c r="I40" s="66"/>
      <c r="J40" s="9"/>
      <c r="K40" s="9"/>
      <c r="L40" s="9"/>
      <c r="M40" s="9"/>
      <c r="N40" s="62">
        <f>E18</f>
        <v>-1.575E-3</v>
      </c>
      <c r="O40" s="67">
        <f>F18</f>
        <v>-364.58333333333326</v>
      </c>
      <c r="P40" s="9"/>
      <c r="Q40" s="9"/>
    </row>
    <row r="41" spans="1:21" x14ac:dyDescent="0.25">
      <c r="A41" s="9"/>
      <c r="B41" s="9"/>
      <c r="C41" s="9"/>
      <c r="D41" s="9"/>
      <c r="E41" s="9"/>
      <c r="F41" s="9"/>
      <c r="G41" s="9"/>
      <c r="H41" s="63"/>
      <c r="I41" s="66"/>
      <c r="J41" s="9"/>
      <c r="K41" s="9"/>
      <c r="L41" s="9"/>
      <c r="M41" s="9"/>
      <c r="N41" s="62">
        <f>E17</f>
        <v>-1.3500000000000001E-3</v>
      </c>
      <c r="O41" s="67">
        <f>F17</f>
        <v>-347.22222222222217</v>
      </c>
      <c r="P41" s="9"/>
      <c r="Q41" s="9"/>
    </row>
    <row r="42" spans="1:21" x14ac:dyDescent="0.25">
      <c r="A42" s="9"/>
      <c r="B42" s="9"/>
      <c r="C42" s="9"/>
      <c r="D42" s="9"/>
      <c r="E42" s="9"/>
      <c r="F42" s="9"/>
      <c r="G42" s="9"/>
      <c r="H42" s="63"/>
      <c r="I42" s="66"/>
      <c r="J42" s="9"/>
      <c r="K42" s="9"/>
      <c r="L42" s="9"/>
      <c r="M42" s="9"/>
      <c r="N42" s="62">
        <f>E16</f>
        <v>-1.1249999999999999E-3</v>
      </c>
      <c r="O42" s="67">
        <f>F16</f>
        <v>-318.28703703703707</v>
      </c>
      <c r="P42" s="9"/>
      <c r="Q42" s="9"/>
    </row>
    <row r="43" spans="1:21" x14ac:dyDescent="0.25">
      <c r="A43" s="9"/>
      <c r="B43" s="9"/>
      <c r="C43" s="9"/>
      <c r="D43" s="9"/>
      <c r="E43" s="9"/>
      <c r="F43" s="9"/>
      <c r="G43" s="9"/>
      <c r="H43" s="63"/>
      <c r="I43" s="66"/>
      <c r="J43" s="9"/>
      <c r="K43" s="9"/>
      <c r="L43" s="9"/>
      <c r="M43" s="9"/>
      <c r="N43" s="62">
        <f>E15</f>
        <v>-8.9999999999999998E-4</v>
      </c>
      <c r="O43" s="67">
        <f>F15</f>
        <v>-277.77777777777771</v>
      </c>
      <c r="P43" s="9"/>
      <c r="Q43" s="9"/>
    </row>
    <row r="44" spans="1:21" x14ac:dyDescent="0.25">
      <c r="A44" s="9"/>
      <c r="B44" s="9"/>
      <c r="C44" s="9"/>
      <c r="D44" s="9"/>
      <c r="E44" s="9"/>
      <c r="F44" s="9"/>
      <c r="G44" s="9"/>
      <c r="H44" s="63"/>
      <c r="I44" s="66"/>
      <c r="J44" s="9"/>
      <c r="K44" s="9"/>
      <c r="L44" s="9"/>
      <c r="M44" s="9"/>
      <c r="N44" s="62">
        <f>E14</f>
        <v>-6.7500000000000004E-4</v>
      </c>
      <c r="O44" s="67">
        <f>F14</f>
        <v>-225.69444444444443</v>
      </c>
      <c r="P44" s="9"/>
      <c r="Q44" s="9"/>
    </row>
    <row r="45" spans="1:21" x14ac:dyDescent="0.25">
      <c r="A45" s="9"/>
      <c r="B45" s="9"/>
      <c r="C45" s="9"/>
      <c r="D45" s="9"/>
      <c r="E45" s="9"/>
      <c r="F45" s="9"/>
      <c r="G45" s="9"/>
      <c r="H45" s="63"/>
      <c r="I45" s="66"/>
      <c r="J45" s="9"/>
      <c r="K45" s="9"/>
      <c r="L45" s="9"/>
      <c r="M45" s="9"/>
      <c r="N45" s="62">
        <f>E13</f>
        <v>-4.4999999999999999E-4</v>
      </c>
      <c r="O45" s="67">
        <f>F13</f>
        <v>-162.03703703703701</v>
      </c>
      <c r="P45" s="9"/>
      <c r="Q45" s="9"/>
    </row>
    <row r="46" spans="1:21" x14ac:dyDescent="0.25">
      <c r="A46" s="9"/>
      <c r="B46" s="9"/>
      <c r="C46" s="9"/>
      <c r="D46" s="9"/>
      <c r="E46" s="9"/>
      <c r="F46" s="9"/>
      <c r="G46" s="9"/>
      <c r="H46" s="63"/>
      <c r="I46" s="66"/>
      <c r="J46" s="9"/>
      <c r="K46" s="9"/>
      <c r="L46" s="9"/>
      <c r="M46" s="9"/>
      <c r="N46" s="62">
        <f>E12</f>
        <v>-2.2499999999999999E-4</v>
      </c>
      <c r="O46" s="67">
        <f>F12</f>
        <v>-86.805555555555543</v>
      </c>
      <c r="P46" s="9"/>
      <c r="Q46" s="9"/>
    </row>
    <row r="47" spans="1:21" x14ac:dyDescent="0.25">
      <c r="A47" s="9"/>
      <c r="B47" s="9"/>
      <c r="C47" s="9"/>
      <c r="D47" s="9"/>
      <c r="E47" s="9"/>
      <c r="F47" s="9"/>
      <c r="G47" s="9"/>
      <c r="H47" s="63"/>
      <c r="I47" s="66"/>
      <c r="J47" s="9"/>
      <c r="K47" s="9"/>
      <c r="L47" s="9"/>
      <c r="M47" s="9"/>
      <c r="N47" s="62">
        <f>C11</f>
        <v>0</v>
      </c>
      <c r="O47" s="67">
        <v>0</v>
      </c>
      <c r="P47" s="9"/>
      <c r="Q47" s="9"/>
    </row>
    <row r="48" spans="1:21" x14ac:dyDescent="0.25">
      <c r="A48" s="9"/>
      <c r="B48" s="9"/>
      <c r="C48" s="9"/>
      <c r="D48" s="9"/>
      <c r="E48" s="9"/>
      <c r="F48" s="9"/>
      <c r="G48" s="9"/>
      <c r="H48" s="63"/>
      <c r="I48" s="66"/>
      <c r="J48" s="9"/>
      <c r="K48" s="9"/>
      <c r="L48" s="9"/>
      <c r="M48" s="9"/>
      <c r="N48" s="62">
        <f>C12</f>
        <v>1.4999999999999999E-4</v>
      </c>
      <c r="O48" s="68">
        <f>D12</f>
        <v>130.5</v>
      </c>
      <c r="P48" s="9"/>
      <c r="Q48" s="9"/>
    </row>
    <row r="49" spans="1:17" x14ac:dyDescent="0.25">
      <c r="A49" s="9"/>
      <c r="B49" s="9"/>
      <c r="C49" s="9"/>
      <c r="D49" s="9"/>
      <c r="E49" s="9"/>
      <c r="F49" s="9"/>
      <c r="G49" s="9"/>
      <c r="H49" s="63"/>
      <c r="I49" s="66"/>
      <c r="J49" s="9"/>
      <c r="K49" s="9"/>
      <c r="L49" s="9"/>
      <c r="M49" s="9"/>
      <c r="N49" s="62">
        <f>C13</f>
        <v>1.5E-3</v>
      </c>
      <c r="O49" s="67">
        <f>D13</f>
        <v>0</v>
      </c>
      <c r="P49" s="9"/>
      <c r="Q49" s="9"/>
    </row>
    <row r="50" spans="1:17" x14ac:dyDescent="0.25">
      <c r="A50" s="9"/>
      <c r="B50" s="9"/>
      <c r="C50" s="9"/>
      <c r="D50" s="9"/>
      <c r="E50" s="9"/>
      <c r="F50" s="9"/>
      <c r="G50" s="9"/>
      <c r="H50" s="63"/>
      <c r="I50" s="66"/>
      <c r="J50" s="9"/>
      <c r="K50" s="9"/>
      <c r="L50" s="9"/>
      <c r="M50" s="9"/>
      <c r="N50" s="59">
        <f>C14</f>
        <v>0</v>
      </c>
      <c r="O50" s="67">
        <f>D14</f>
        <v>0</v>
      </c>
      <c r="P50" s="9"/>
      <c r="Q50" s="9"/>
    </row>
    <row r="51" spans="1:17" x14ac:dyDescent="0.25">
      <c r="A51" s="9"/>
      <c r="B51" s="9"/>
      <c r="C51" s="9"/>
      <c r="D51" s="9"/>
      <c r="E51" s="9"/>
      <c r="F51" s="9"/>
      <c r="G51" s="9"/>
      <c r="H51" s="63"/>
      <c r="I51" s="66"/>
      <c r="J51" s="9"/>
      <c r="K51" s="9"/>
      <c r="L51" s="9"/>
      <c r="M51" s="9"/>
      <c r="N51" s="9"/>
      <c r="O51" s="9"/>
      <c r="P51" s="9"/>
      <c r="Q51" s="9"/>
    </row>
    <row r="52" spans="1:17" x14ac:dyDescent="0.25">
      <c r="A52" s="9"/>
      <c r="B52" s="9"/>
      <c r="C52" s="9"/>
      <c r="D52" s="9"/>
      <c r="E52" s="9"/>
      <c r="F52" s="9"/>
      <c r="G52" s="9"/>
      <c r="H52" s="63"/>
      <c r="I52" s="66"/>
      <c r="J52" s="9"/>
      <c r="K52" s="9"/>
      <c r="L52" s="9"/>
      <c r="M52" s="9"/>
      <c r="N52" s="9"/>
      <c r="O52" s="9"/>
      <c r="P52" s="9"/>
      <c r="Q52" s="9"/>
    </row>
    <row r="53" spans="1:17" x14ac:dyDescent="0.25">
      <c r="A53" s="9"/>
      <c r="B53" s="9"/>
      <c r="C53" s="9"/>
      <c r="D53" s="9"/>
      <c r="E53" s="9"/>
      <c r="F53" s="9"/>
      <c r="G53" s="9"/>
      <c r="H53" s="63"/>
      <c r="I53" s="66"/>
      <c r="J53" s="9"/>
      <c r="K53" s="9"/>
      <c r="L53" s="9"/>
      <c r="M53" s="9"/>
      <c r="N53" s="9"/>
      <c r="O53" s="9"/>
      <c r="P53" s="9"/>
      <c r="Q53" s="9"/>
    </row>
    <row r="54" spans="1:17" x14ac:dyDescent="0.25">
      <c r="A54" s="9"/>
      <c r="B54" s="9"/>
      <c r="C54" s="9"/>
      <c r="D54" s="9"/>
      <c r="E54" s="9"/>
      <c r="F54" s="9"/>
      <c r="G54" s="9"/>
      <c r="H54" s="63"/>
      <c r="I54" s="66"/>
      <c r="J54" s="9"/>
      <c r="K54" s="9"/>
      <c r="L54" s="9"/>
      <c r="M54" s="9"/>
      <c r="N54" s="9"/>
      <c r="O54" s="9"/>
      <c r="P54" s="9"/>
      <c r="Q54" s="9"/>
    </row>
    <row r="55" spans="1:17" x14ac:dyDescent="0.25">
      <c r="A55" s="9"/>
      <c r="B55" s="9"/>
      <c r="C55" s="9"/>
      <c r="D55" s="9"/>
      <c r="E55" s="9"/>
      <c r="F55" s="9"/>
      <c r="G55" s="9"/>
      <c r="H55" s="63"/>
      <c r="I55" s="66"/>
      <c r="J55" s="9"/>
      <c r="K55" s="9"/>
      <c r="L55" s="9"/>
      <c r="M55" s="9"/>
      <c r="N55" s="9"/>
      <c r="O55" s="9"/>
      <c r="P55" s="9"/>
      <c r="Q55" s="9"/>
    </row>
    <row r="56" spans="1:17" x14ac:dyDescent="0.25">
      <c r="A56" s="9"/>
      <c r="B56" s="9"/>
      <c r="C56" s="9"/>
      <c r="D56" s="9"/>
      <c r="E56" s="9"/>
      <c r="F56" s="9"/>
      <c r="G56" s="9"/>
      <c r="H56" s="63"/>
      <c r="I56" s="66"/>
      <c r="J56" s="9"/>
      <c r="K56" s="9"/>
      <c r="L56" s="9"/>
      <c r="M56" s="9"/>
      <c r="N56" s="9"/>
      <c r="O56" s="9"/>
      <c r="P56" s="9"/>
      <c r="Q56" s="9"/>
    </row>
    <row r="57" spans="1:17" x14ac:dyDescent="0.25">
      <c r="A57" s="9"/>
      <c r="B57" s="9"/>
      <c r="C57" s="9"/>
      <c r="D57" s="9"/>
      <c r="E57" s="9"/>
      <c r="F57" s="9"/>
      <c r="G57" s="9"/>
      <c r="H57" s="63"/>
      <c r="I57" s="66"/>
      <c r="J57" s="9"/>
      <c r="K57" s="9"/>
      <c r="L57" s="9"/>
      <c r="M57" s="9"/>
      <c r="N57" s="9"/>
      <c r="O57" s="9"/>
      <c r="P57" s="9"/>
      <c r="Q57" s="9"/>
    </row>
    <row r="58" spans="1:17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1:17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17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1:17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17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1:17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1:17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</row>
  </sheetData>
  <sheetProtection algorithmName="SHA-512" hashValue="L7lE9HoxW75WOjfw1jwon8YUyw9OPEKHE11Lf4xp3JADJcbPhwyouMFMh9jhMu3yNRVU92+RRS8kBg6t8cpVLA==" saltValue="Fwey17AdbwdsLttJ3Ugkdw==" spinCount="100000" sheet="1" objects="1" scenarios="1"/>
  <customSheetViews>
    <customSheetView guid="{008C3BE6-8B52-467A-965A-EFB0ED2F4BF4}" showGridLines="0">
      <selection activeCell="B2" sqref="B2:O2"/>
      <pageMargins left="0.7" right="0.7" top="0.75" bottom="0.75" header="0.3" footer="0.3"/>
      <pageSetup paperSize="9" orientation="portrait" r:id="rId1"/>
    </customSheetView>
    <customSheetView guid="{DD657959-DBA4-44AA-BD36-35D76D92C4C8}" showGridLines="0">
      <selection activeCell="B2" sqref="B2:O2"/>
      <pageMargins left="0.7" right="0.7" top="0.75" bottom="0.75" header="0.3" footer="0.3"/>
      <pageSetup paperSize="9" orientation="portrait" r:id="rId2"/>
    </customSheetView>
    <customSheetView guid="{4F428F85-A986-464A-BD5B-D43EDDD1A16A}" showGridLines="0">
      <selection activeCell="B2" sqref="B2:O2"/>
      <pageMargins left="0.7" right="0.7" top="0.75" bottom="0.75" header="0.3" footer="0.3"/>
      <pageSetup paperSize="9" orientation="portrait" r:id="rId3"/>
    </customSheetView>
    <customSheetView guid="{F017CC66-3157-4857-B035-5B775CD5B9B9}" showGridLines="0">
      <selection activeCell="B2" sqref="B2:O2"/>
      <pageMargins left="0.7" right="0.7" top="0.75" bottom="0.75" header="0.3" footer="0.3"/>
      <pageSetup paperSize="9" orientation="portrait" r:id="rId4"/>
    </customSheetView>
  </customSheetViews>
  <mergeCells count="8">
    <mergeCell ref="N30:O30"/>
    <mergeCell ref="B2:O2"/>
    <mergeCell ref="G25:H25"/>
    <mergeCell ref="G26:H26"/>
    <mergeCell ref="G27:H27"/>
    <mergeCell ref="C9:D9"/>
    <mergeCell ref="E9:F9"/>
    <mergeCell ref="G9:H9"/>
  </mergeCells>
  <pageMargins left="0.7" right="0.7" top="0.75" bottom="0.75" header="0.3" footer="0.3"/>
  <pageSetup paperSize="9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20"/>
  <sheetViews>
    <sheetView showGridLines="0" showRowColHeaders="0" workbookViewId="0">
      <selection activeCell="B289" sqref="B289"/>
    </sheetView>
  </sheetViews>
  <sheetFormatPr defaultRowHeight="15" x14ac:dyDescent="0.25"/>
  <cols>
    <col min="1" max="1" width="2.7109375" customWidth="1"/>
  </cols>
  <sheetData>
    <row r="2" spans="2:13" ht="15" customHeight="1" x14ac:dyDescent="0.25">
      <c r="B2" s="187" t="s">
        <v>75</v>
      </c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</row>
    <row r="3" spans="2:13" s="3" customFormat="1" ht="15.75" customHeight="1" x14ac:dyDescent="0.25"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</row>
    <row r="5" spans="2:13" ht="76.5" customHeight="1" x14ac:dyDescent="0.25">
      <c r="B5" s="186" t="s">
        <v>79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</row>
    <row r="7" spans="2:13" ht="74.25" customHeight="1" x14ac:dyDescent="0.25">
      <c r="B7" s="186" t="s">
        <v>80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</row>
    <row r="9" spans="2:13" ht="36" customHeight="1" x14ac:dyDescent="0.25">
      <c r="B9" s="186" t="s">
        <v>76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</row>
    <row r="10" spans="2:13" s="3" customFormat="1" x14ac:dyDescent="0.25"/>
    <row r="11" spans="2:13" s="1" customFormat="1" ht="69" customHeight="1" x14ac:dyDescent="0.25">
      <c r="B11" s="186" t="s">
        <v>77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</row>
    <row r="12" spans="2:13" x14ac:dyDescent="0.25">
      <c r="B12" s="3"/>
      <c r="C12" s="3"/>
      <c r="D12" s="3"/>
      <c r="E12" s="3"/>
      <c r="F12" s="3"/>
      <c r="G12" s="3"/>
      <c r="H12" s="3"/>
    </row>
    <row r="13" spans="2:13" ht="111" customHeight="1" x14ac:dyDescent="0.25">
      <c r="B13" s="186" t="s">
        <v>78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</row>
    <row r="15" spans="2:13" ht="97.5" customHeight="1" x14ac:dyDescent="0.25">
      <c r="B15" s="186" t="s">
        <v>81</v>
      </c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</row>
    <row r="16" spans="2:13" x14ac:dyDescent="0.25">
      <c r="B16" s="3"/>
    </row>
    <row r="18" spans="2:2" x14ac:dyDescent="0.25">
      <c r="B18" s="3"/>
    </row>
    <row r="19" spans="2:2" x14ac:dyDescent="0.25">
      <c r="B19" s="3"/>
    </row>
    <row r="20" spans="2:2" x14ac:dyDescent="0.25">
      <c r="B20" s="3"/>
    </row>
  </sheetData>
  <sheetProtection algorithmName="SHA-512" hashValue="gXyluaS4sdaeYp4nnJ44K1UvxvDgf1CjoIEvXS64ZF86PJqui6FwGma3/fRTUGG2wavn1iYG2yIF1baRgv97KQ==" saltValue="Mb4ZDP9esW4XYhkep5j9Iw==" spinCount="100000" sheet="1" selectLockedCells="1" selectUnlockedCells="1"/>
  <customSheetViews>
    <customSheetView guid="{008C3BE6-8B52-467A-965A-EFB0ED2F4BF4}" showGridLines="0" showRowCol="0" fitToPage="1">
      <selection activeCell="B289" sqref="B289"/>
      <rowBreaks count="2" manualBreakCount="2">
        <brk id="43" max="16383" man="1"/>
        <brk id="171" max="16383" man="1"/>
      </rowBreaks>
      <colBreaks count="2" manualBreakCount="2">
        <brk id="1" max="1048575" man="1"/>
        <brk id="13" max="1048575" man="1"/>
      </colBreaks>
      <pageMargins left="0.7" right="0.7" top="0.75" bottom="0.75" header="0.3" footer="0.3"/>
      <pageSetup paperSize="9" scale="71" fitToHeight="0" orientation="portrait" r:id="rId1"/>
    </customSheetView>
    <customSheetView guid="{DD657959-DBA4-44AA-BD36-35D76D92C4C8}" showGridLines="0" showRowCol="0" fitToPage="1">
      <selection activeCell="P5" sqref="P5"/>
      <rowBreaks count="2" manualBreakCount="2">
        <brk id="43" max="16383" man="1"/>
        <brk id="171" max="16383" man="1"/>
      </rowBreaks>
      <colBreaks count="2" manualBreakCount="2">
        <brk id="1" max="1048575" man="1"/>
        <brk id="13" max="1048575" man="1"/>
      </colBreaks>
      <pageMargins left="0.7" right="0.7" top="0.75" bottom="0.75" header="0.3" footer="0.3"/>
      <pageSetup paperSize="9" scale="71" fitToHeight="0" orientation="portrait" r:id="rId2"/>
    </customSheetView>
    <customSheetView guid="{4F428F85-A986-464A-BD5B-D43EDDD1A16A}" showGridLines="0" showRowCol="0" fitToPage="1">
      <selection activeCell="B289" sqref="B289"/>
      <rowBreaks count="2" manualBreakCount="2">
        <brk id="43" max="16383" man="1"/>
        <brk id="171" max="16383" man="1"/>
      </rowBreaks>
      <colBreaks count="2" manualBreakCount="2">
        <brk id="1" max="1048575" man="1"/>
        <brk id="13" max="1048575" man="1"/>
      </colBreaks>
      <pageMargins left="0.7" right="0.7" top="0.75" bottom="0.75" header="0.3" footer="0.3"/>
      <pageSetup paperSize="9" scale="71" fitToHeight="0" orientation="portrait" r:id="rId3"/>
    </customSheetView>
    <customSheetView guid="{F017CC66-3157-4857-B035-5B775CD5B9B9}" showGridLines="0" showRowCol="0" fitToPage="1">
      <selection activeCell="B289" sqref="B289"/>
      <rowBreaks count="2" manualBreakCount="2">
        <brk id="43" max="16383" man="1"/>
        <brk id="171" max="16383" man="1"/>
      </rowBreaks>
      <colBreaks count="2" manualBreakCount="2">
        <brk id="1" max="1048575" man="1"/>
        <brk id="13" max="1048575" man="1"/>
      </colBreaks>
      <pageMargins left="0.7" right="0.7" top="0.75" bottom="0.75" header="0.3" footer="0.3"/>
      <pageSetup paperSize="9" scale="71" fitToHeight="0" orientation="portrait" r:id="rId4"/>
    </customSheetView>
  </customSheetViews>
  <mergeCells count="7">
    <mergeCell ref="B5:M5"/>
    <mergeCell ref="B2:M3"/>
    <mergeCell ref="B15:M15"/>
    <mergeCell ref="B13:M13"/>
    <mergeCell ref="B11:M11"/>
    <mergeCell ref="B9:M9"/>
    <mergeCell ref="B7:M7"/>
  </mergeCells>
  <pageMargins left="0.7" right="0.7" top="0.75" bottom="0.75" header="0.3" footer="0.3"/>
  <pageSetup paperSize="9" scale="71" fitToHeight="0" orientation="portrait" r:id="rId5"/>
  <rowBreaks count="2" manualBreakCount="2">
    <brk id="43" max="16383" man="1"/>
    <brk id="171" max="16383" man="1"/>
  </rowBreaks>
  <colBreaks count="2" manualBreakCount="2">
    <brk id="1" max="1048575" man="1"/>
    <brk id="13" max="1048575" man="1"/>
  </colBreaks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ISTRUZIONI</vt:lpstr>
      <vt:lpstr>DATI</vt:lpstr>
      <vt:lpstr>Caratteristiche Materiale</vt:lpstr>
      <vt:lpstr>FOGLIO DEPOSITO</vt:lpstr>
      <vt:lpstr>RESISTENZA MURATURA</vt:lpstr>
      <vt:lpstr>LEGAME COSTITUTIVO</vt:lpstr>
      <vt:lpstr>NTC18 &amp; CIRCOLARE2019</vt:lpstr>
      <vt:lpstr>an</vt:lpstr>
      <vt:lpstr>ana</vt:lpstr>
      <vt:lpstr>LC</vt:lpstr>
      <vt:lpstr>MUR</vt:lpstr>
      <vt:lpstr>mura</vt:lpstr>
      <vt:lpstr>perc</vt:lpstr>
      <vt:lpstr>sn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</dc:creator>
  <cp:lastModifiedBy>Davide</cp:lastModifiedBy>
  <cp:lastPrinted>2017-02-16T23:32:18Z</cp:lastPrinted>
  <dcterms:created xsi:type="dcterms:W3CDTF">2015-02-25T02:59:02Z</dcterms:created>
  <dcterms:modified xsi:type="dcterms:W3CDTF">2020-06-21T12:40:40Z</dcterms:modified>
</cp:coreProperties>
</file>